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5799D105-4F86-4D0D-8298-BAFD21D3A848}" xr6:coauthVersionLast="47" xr6:coauthVersionMax="47" xr10:uidLastSave="{7D5F8411-27A7-4713-AD10-53A082BC9323}"/>
  <bookViews>
    <workbookView xWindow="28680" yWindow="-120" windowWidth="29040" windowHeight="15720" tabRatio="759" xr2:uid="{00000000-000D-0000-FFFF-FFFF00000000}"/>
  </bookViews>
  <sheets>
    <sheet name="Step 1 - Order Planner" sheetId="1" r:id="rId1"/>
    <sheet name="Step 2 - OldManage Apps" sheetId="11" state="veryHidden" r:id="rId2"/>
    <sheet name="Step 2 - Review Order" sheetId="13" r:id="rId3"/>
    <sheet name="Range Reference" sheetId="8" state="veryHidden" r:id="rId4"/>
    <sheet name="Article Reference" sheetId="4" state="veryHidden" r:id="rId5"/>
    <sheet name="Coverage Reference" sheetId="2" state="veryHidden" r:id="rId6"/>
    <sheet name="Sheet1" sheetId="15" state="veryHidden" r:id="rId7"/>
  </sheets>
  <definedNames>
    <definedName name="_xlnm._FilterDatabase" localSheetId="4" hidden="1">'Article Reference'!$A$22:$D$55</definedName>
    <definedName name="_xlnm._FilterDatabase" localSheetId="5" hidden="1">'Coverage Reference'!$A$3:$H$21</definedName>
    <definedName name="_xlnm._FilterDatabase" localSheetId="1" hidden="1">'Step 2 - OldManage Apps'!$A$21:$I$37</definedName>
    <definedName name="_xlnm._FilterDatabase" localSheetId="2" hidden="1">'Step 2 - Review Order'!$A$26:$F$61</definedName>
    <definedName name="_xlnm.Print_Area" localSheetId="0">'Step 1 - Order Planner'!$A$1:$P$79</definedName>
    <definedName name="_xlnm.Print_Area" localSheetId="2">'Step 2 - Review Order'!$A$3:$G$72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31" i="13" l="1"/>
  <c r="A31" i="13"/>
  <c r="B30" i="13"/>
  <c r="A30" i="13"/>
  <c r="E31" i="13"/>
  <c r="D31" i="13"/>
  <c r="E30" i="13"/>
  <c r="D30" i="13"/>
  <c r="S13" i="8"/>
  <c r="R13" i="8"/>
  <c r="R11" i="8"/>
  <c r="Q13" i="8"/>
  <c r="H33" i="1"/>
  <c r="F55" i="4"/>
  <c r="G55" i="4" s="1"/>
  <c r="F54" i="4"/>
  <c r="G54" i="4" s="1"/>
  <c r="F53" i="4"/>
  <c r="G53" i="4" s="1"/>
  <c r="F52" i="4"/>
  <c r="G52" i="4" s="1"/>
  <c r="F51" i="4"/>
  <c r="G51" i="4" s="1"/>
  <c r="F50" i="4"/>
  <c r="G50" i="4" s="1"/>
  <c r="F49" i="4"/>
  <c r="G49" i="4" s="1"/>
  <c r="F48" i="4"/>
  <c r="G48" i="4" s="1"/>
  <c r="F46" i="4"/>
  <c r="G46" i="4" s="1"/>
  <c r="F44" i="4"/>
  <c r="G44" i="4" s="1"/>
  <c r="F43" i="4"/>
  <c r="G43" i="4" s="1"/>
  <c r="F42" i="4"/>
  <c r="G42" i="4" s="1"/>
  <c r="F41" i="4"/>
  <c r="G41" i="4" s="1"/>
  <c r="F40" i="4"/>
  <c r="G40" i="4" s="1"/>
  <c r="F39" i="4"/>
  <c r="G39" i="4" s="1"/>
  <c r="F38" i="4"/>
  <c r="G38" i="4" s="1"/>
  <c r="F37" i="4"/>
  <c r="G37" i="4" s="1"/>
  <c r="F35" i="4"/>
  <c r="G35" i="4" s="1"/>
  <c r="F34" i="4"/>
  <c r="G34" i="4" s="1"/>
  <c r="F33" i="4"/>
  <c r="G33" i="4" s="1"/>
  <c r="F32" i="4"/>
  <c r="G32" i="4" s="1"/>
  <c r="F29" i="4"/>
  <c r="G29" i="4" s="1"/>
  <c r="F28" i="4"/>
  <c r="G28" i="4" s="1"/>
  <c r="F27" i="4"/>
  <c r="G27" i="4" s="1"/>
  <c r="F25" i="4"/>
  <c r="G25" i="4" s="1"/>
  <c r="F23" i="4"/>
  <c r="F19" i="4"/>
  <c r="G19" i="4" s="1"/>
  <c r="F18" i="4"/>
  <c r="G18" i="4" s="1"/>
  <c r="F17" i="4"/>
  <c r="G17" i="4" s="1"/>
  <c r="F16" i="4"/>
  <c r="G16" i="4" s="1"/>
  <c r="F11" i="4"/>
  <c r="G11" i="4" s="1"/>
  <c r="F10" i="4"/>
  <c r="G10" i="4" s="1"/>
  <c r="F9" i="4"/>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3" i="13"/>
  <c r="D32" i="13"/>
  <c r="D29" i="13"/>
  <c r="D28" i="13"/>
  <c r="D27" i="13"/>
  <c r="F31" i="13" l="1"/>
  <c r="F30" i="13"/>
  <c r="F56" i="4"/>
  <c r="G23" i="4"/>
  <c r="G56" i="4" s="1"/>
  <c r="G19" i="1" s="1"/>
  <c r="F20" i="4"/>
  <c r="G9" i="4"/>
  <c r="G20" i="4" s="1"/>
  <c r="G17" i="1" s="1"/>
  <c r="H10" i="8" s="1"/>
  <c r="E60" i="13" l="1"/>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3" i="13"/>
  <c r="E32" i="13"/>
  <c r="E29" i="13"/>
  <c r="E28" i="13"/>
  <c r="E27" i="13"/>
  <c r="P17" i="8"/>
  <c r="P15" i="8"/>
  <c r="P10" i="8"/>
  <c r="P9" i="8"/>
  <c r="P8" i="8"/>
  <c r="O17" i="8"/>
  <c r="O15" i="8"/>
  <c r="O12" i="8"/>
  <c r="O11" i="8"/>
  <c r="O10" i="8"/>
  <c r="O9" i="8"/>
  <c r="O8" i="8"/>
  <c r="Q8" i="8" s="1"/>
  <c r="N12" i="8"/>
  <c r="N11" i="8"/>
  <c r="M12" i="8"/>
  <c r="M11" i="8"/>
  <c r="Q11" i="8" l="1"/>
  <c r="S11" i="8" s="1"/>
  <c r="E17" i="4"/>
  <c r="E16" i="4"/>
  <c r="B30" i="1"/>
  <c r="A30" i="1"/>
  <c r="B29" i="1"/>
  <c r="A29" i="1"/>
  <c r="D30" i="1"/>
  <c r="H30" i="1" s="1"/>
  <c r="D29" i="1"/>
  <c r="H29" i="1" s="1"/>
  <c r="E23" i="4"/>
  <c r="E41" i="4"/>
  <c r="E40" i="4"/>
  <c r="E39" i="4"/>
  <c r="F29" i="1" l="1"/>
  <c r="F30" i="1"/>
  <c r="F33" i="1" s="1"/>
  <c r="E54" i="4"/>
  <c r="E53" i="4"/>
  <c r="E52" i="4"/>
  <c r="E51" i="4"/>
  <c r="E48" i="4"/>
  <c r="E44" i="4"/>
  <c r="E43" i="4"/>
  <c r="E35" i="4"/>
  <c r="E34" i="4"/>
  <c r="E33" i="4"/>
  <c r="E32" i="4"/>
  <c r="E29" i="4"/>
  <c r="E28" i="4"/>
  <c r="E27" i="4"/>
  <c r="E25" i="4"/>
  <c r="D19" i="13" l="1"/>
  <c r="R23" i="8"/>
  <c r="O23" i="8"/>
  <c r="N23" i="8"/>
  <c r="M23" i="8"/>
  <c r="M5" i="2"/>
  <c r="M4" i="2"/>
  <c r="B41" i="2"/>
  <c r="B42" i="2"/>
  <c r="H5" i="2" l="1"/>
  <c r="Q9" i="2"/>
  <c r="Q11" i="2" s="1"/>
  <c r="H4" i="2"/>
  <c r="B59" i="13" l="1"/>
  <c r="A59" i="13"/>
  <c r="D65" i="1"/>
  <c r="F65" i="1" s="1"/>
  <c r="B65" i="1"/>
  <c r="A65" i="1"/>
  <c r="D59" i="1"/>
  <c r="F59" i="1" s="1"/>
  <c r="B59" i="1"/>
  <c r="A59" i="1"/>
  <c r="J34" i="4"/>
  <c r="I34" i="4" s="1"/>
  <c r="D56" i="4"/>
  <c r="J4" i="4"/>
  <c r="H4" i="4"/>
  <c r="P23" i="8"/>
  <c r="A60" i="13"/>
  <c r="A58" i="13"/>
  <c r="A57" i="13"/>
  <c r="A56" i="13"/>
  <c r="A55" i="13"/>
  <c r="A54" i="13"/>
  <c r="A53" i="13"/>
  <c r="A52" i="13"/>
  <c r="A51" i="13"/>
  <c r="A50" i="13"/>
  <c r="A49" i="13"/>
  <c r="A48" i="13"/>
  <c r="A47" i="13"/>
  <c r="A46" i="13"/>
  <c r="A45" i="13"/>
  <c r="A44" i="13"/>
  <c r="A43" i="13"/>
  <c r="A42" i="13"/>
  <c r="A41" i="13"/>
  <c r="A40" i="13"/>
  <c r="A39" i="13"/>
  <c r="A38" i="13"/>
  <c r="A37" i="13"/>
  <c r="A36" i="13"/>
  <c r="A35" i="13"/>
  <c r="B60" i="13"/>
  <c r="B58" i="13"/>
  <c r="B57" i="13"/>
  <c r="B56" i="13"/>
  <c r="B55" i="13"/>
  <c r="B54" i="13"/>
  <c r="B53" i="13"/>
  <c r="B52" i="13"/>
  <c r="B51" i="13"/>
  <c r="B50" i="13"/>
  <c r="B49" i="13"/>
  <c r="B48" i="13"/>
  <c r="B47" i="13"/>
  <c r="B46" i="13"/>
  <c r="B45" i="13"/>
  <c r="B44" i="13"/>
  <c r="B43" i="13"/>
  <c r="B42" i="13"/>
  <c r="B41" i="13"/>
  <c r="B40" i="13"/>
  <c r="B39" i="13"/>
  <c r="B38" i="13"/>
  <c r="B37" i="13"/>
  <c r="B36" i="13"/>
  <c r="B35" i="13"/>
  <c r="B33" i="13"/>
  <c r="B32" i="13"/>
  <c r="B29" i="13"/>
  <c r="B28" i="13"/>
  <c r="B27" i="13"/>
  <c r="M38" i="2"/>
  <c r="M35" i="2"/>
  <c r="M26" i="2"/>
  <c r="N26" i="2" s="1"/>
  <c r="M29" i="2"/>
  <c r="M30" i="2" s="1"/>
  <c r="K32" i="1"/>
  <c r="K31" i="1"/>
  <c r="K28" i="1"/>
  <c r="K27" i="1"/>
  <c r="K26" i="1"/>
  <c r="J32" i="1"/>
  <c r="J31" i="1"/>
  <c r="J28" i="1"/>
  <c r="J27" i="1"/>
  <c r="J26" i="1"/>
  <c r="I32" i="1"/>
  <c r="I31" i="1"/>
  <c r="I28" i="1"/>
  <c r="I27" i="1"/>
  <c r="I26" i="1"/>
  <c r="A32" i="1"/>
  <c r="A31" i="1"/>
  <c r="A28" i="1"/>
  <c r="A27" i="1"/>
  <c r="A26" i="1"/>
  <c r="B32" i="1"/>
  <c r="B31" i="1"/>
  <c r="B28" i="1"/>
  <c r="B27" i="1"/>
  <c r="B26" i="1"/>
  <c r="D32" i="1"/>
  <c r="H32" i="1" s="1"/>
  <c r="D31" i="1"/>
  <c r="D28" i="1"/>
  <c r="D27" i="1"/>
  <c r="D26" i="1"/>
  <c r="A33" i="13"/>
  <c r="A32" i="13"/>
  <c r="A29" i="13"/>
  <c r="A28" i="13"/>
  <c r="A27" i="13"/>
  <c r="E20" i="4"/>
  <c r="D20" i="4"/>
  <c r="J3" i="4"/>
  <c r="I3" i="4" s="1"/>
  <c r="E36" i="4"/>
  <c r="E56" i="4" s="1"/>
  <c r="J5" i="4"/>
  <c r="O53" i="1" l="1"/>
  <c r="P53" i="1" s="1"/>
  <c r="P50" i="1" s="1"/>
  <c r="M33" i="2"/>
  <c r="F60" i="13"/>
  <c r="I4" i="4"/>
  <c r="Q15" i="8"/>
  <c r="F32" i="1"/>
  <c r="F33" i="13" s="1"/>
  <c r="B47" i="1"/>
  <c r="A47" i="1"/>
  <c r="D47" i="1"/>
  <c r="F47" i="1" s="1"/>
  <c r="J29" i="4"/>
  <c r="J19" i="4"/>
  <c r="J18" i="4"/>
  <c r="J15" i="4"/>
  <c r="J14" i="4"/>
  <c r="J13" i="4"/>
  <c r="J12" i="4"/>
  <c r="J11" i="4"/>
  <c r="J10" i="4"/>
  <c r="J9" i="4"/>
  <c r="J8" i="4"/>
  <c r="J7" i="4"/>
  <c r="J6" i="4"/>
  <c r="B21" i="8"/>
  <c r="B20" i="8"/>
  <c r="B4" i="8"/>
  <c r="B3" i="8"/>
  <c r="B11" i="8"/>
  <c r="B12" i="8"/>
  <c r="B13" i="8"/>
  <c r="B14" i="8"/>
  <c r="B33" i="2"/>
  <c r="B31" i="2"/>
  <c r="B26" i="2"/>
  <c r="B34" i="2"/>
  <c r="B32" i="2"/>
  <c r="B43" i="2"/>
  <c r="E39" i="2"/>
  <c r="B39" i="2" s="1"/>
  <c r="E38" i="2"/>
  <c r="B38" i="2" s="1"/>
  <c r="E37" i="2"/>
  <c r="B37" i="2" s="1"/>
  <c r="E36" i="2"/>
  <c r="B36" i="2" s="1"/>
  <c r="E34" i="2"/>
  <c r="E33" i="2"/>
  <c r="E32" i="2"/>
  <c r="E31" i="2"/>
  <c r="E26" i="2"/>
  <c r="K64" i="1"/>
  <c r="J64" i="1"/>
  <c r="I64" i="1"/>
  <c r="K63" i="1"/>
  <c r="J63" i="1"/>
  <c r="I63" i="1"/>
  <c r="K62" i="1"/>
  <c r="J62" i="1"/>
  <c r="I62" i="1"/>
  <c r="K60" i="1"/>
  <c r="J60" i="1"/>
  <c r="I60" i="1"/>
  <c r="K58" i="1"/>
  <c r="J58" i="1"/>
  <c r="I58" i="1"/>
  <c r="K57" i="1"/>
  <c r="J57" i="1"/>
  <c r="I57" i="1"/>
  <c r="K56" i="1"/>
  <c r="J56" i="1"/>
  <c r="I56" i="1"/>
  <c r="K55" i="1"/>
  <c r="J55" i="1"/>
  <c r="I55" i="1"/>
  <c r="K53" i="1"/>
  <c r="J53" i="1"/>
  <c r="I53" i="1"/>
  <c r="K52" i="1"/>
  <c r="J52" i="1"/>
  <c r="I52" i="1"/>
  <c r="K51" i="1"/>
  <c r="J51" i="1"/>
  <c r="I51" i="1"/>
  <c r="K50" i="1"/>
  <c r="J50" i="1"/>
  <c r="I50" i="1"/>
  <c r="K49" i="1"/>
  <c r="J49" i="1"/>
  <c r="I49" i="1"/>
  <c r="K48" i="1"/>
  <c r="J48" i="1"/>
  <c r="I48" i="1"/>
  <c r="K46" i="1"/>
  <c r="J46" i="1"/>
  <c r="I46" i="1"/>
  <c r="K44" i="1"/>
  <c r="J44" i="1"/>
  <c r="I44" i="1"/>
  <c r="K43" i="1"/>
  <c r="J43" i="1"/>
  <c r="I43" i="1"/>
  <c r="K42" i="1"/>
  <c r="J42" i="1"/>
  <c r="I42" i="1"/>
  <c r="K41" i="1"/>
  <c r="J41" i="1"/>
  <c r="I41" i="1"/>
  <c r="K39" i="1"/>
  <c r="J39" i="1"/>
  <c r="I39" i="1"/>
  <c r="K38" i="1"/>
  <c r="J38" i="1"/>
  <c r="I38" i="1"/>
  <c r="K37" i="1"/>
  <c r="J37" i="1"/>
  <c r="I37" i="1"/>
  <c r="K36" i="1"/>
  <c r="J36" i="1"/>
  <c r="I36" i="1"/>
  <c r="H36" i="4" l="1"/>
  <c r="J36" i="4"/>
  <c r="H45" i="4"/>
  <c r="J45" i="4"/>
  <c r="I36" i="4" l="1"/>
  <c r="I45" i="4"/>
  <c r="N17" i="8"/>
  <c r="M17" i="8"/>
  <c r="N15" i="8"/>
  <c r="M15" i="8"/>
  <c r="N10" i="8"/>
  <c r="M10" i="8"/>
  <c r="N9" i="8"/>
  <c r="M9" i="8"/>
  <c r="N8" i="8"/>
  <c r="M8" i="8"/>
  <c r="B43" i="1" l="1"/>
  <c r="A43" i="1"/>
  <c r="D43" i="1"/>
  <c r="F43" i="1" s="1"/>
  <c r="J30" i="4"/>
  <c r="I30" i="4" s="1"/>
  <c r="J55" i="4"/>
  <c r="J54" i="4"/>
  <c r="I54" i="4" s="1"/>
  <c r="J53" i="4"/>
  <c r="I53" i="4" s="1"/>
  <c r="J52" i="4"/>
  <c r="I52" i="4" s="1"/>
  <c r="J51" i="4"/>
  <c r="J50" i="4"/>
  <c r="I50" i="4" s="1"/>
  <c r="J49" i="4"/>
  <c r="J48" i="4"/>
  <c r="I48" i="4" s="1"/>
  <c r="J47" i="4"/>
  <c r="I47" i="4" s="1"/>
  <c r="J46" i="4"/>
  <c r="I46" i="4" s="1"/>
  <c r="J44" i="4"/>
  <c r="I44" i="4" s="1"/>
  <c r="J43" i="4"/>
  <c r="I43" i="4" s="1"/>
  <c r="J42" i="4"/>
  <c r="I42" i="4" s="1"/>
  <c r="J41" i="4"/>
  <c r="I41" i="4" s="1"/>
  <c r="J40" i="4"/>
  <c r="I40" i="4" s="1"/>
  <c r="J39" i="4"/>
  <c r="I39" i="4" s="1"/>
  <c r="J38" i="4"/>
  <c r="I38" i="4" s="1"/>
  <c r="J37" i="4"/>
  <c r="J35" i="4"/>
  <c r="I35" i="4" s="1"/>
  <c r="J33" i="4"/>
  <c r="I33" i="4" s="1"/>
  <c r="J32" i="4"/>
  <c r="I32" i="4" s="1"/>
  <c r="J31" i="4"/>
  <c r="I31" i="4" s="1"/>
  <c r="J28" i="4"/>
  <c r="J27" i="4"/>
  <c r="I27" i="4" s="1"/>
  <c r="J26" i="4"/>
  <c r="I26" i="4" s="1"/>
  <c r="J25" i="4"/>
  <c r="I25" i="4" s="1"/>
  <c r="J24" i="4"/>
  <c r="J23" i="4"/>
  <c r="I23" i="4" s="1"/>
  <c r="I15" i="4"/>
  <c r="I13" i="4"/>
  <c r="I10" i="4"/>
  <c r="I8" i="4"/>
  <c r="D53" i="1" l="1"/>
  <c r="H24" i="4" l="1"/>
  <c r="I24" i="4" s="1"/>
  <c r="H6" i="4"/>
  <c r="I6" i="4" s="1"/>
  <c r="A36" i="1"/>
  <c r="B36" i="1"/>
  <c r="D36" i="1"/>
  <c r="F36" i="1" s="1"/>
  <c r="F35" i="13" s="1"/>
  <c r="D64" i="1" l="1"/>
  <c r="D63" i="1"/>
  <c r="D62" i="1"/>
  <c r="D60" i="1"/>
  <c r="D58" i="1"/>
  <c r="D57" i="1"/>
  <c r="D56" i="1"/>
  <c r="D55" i="1"/>
  <c r="D52" i="1"/>
  <c r="D51" i="1"/>
  <c r="F51" i="1" s="1"/>
  <c r="D50" i="1"/>
  <c r="D49" i="1"/>
  <c r="D48" i="1"/>
  <c r="D46" i="1"/>
  <c r="D44" i="1"/>
  <c r="D42" i="1"/>
  <c r="D41" i="1"/>
  <c r="D39" i="1"/>
  <c r="D38" i="1"/>
  <c r="D37" i="1"/>
  <c r="B64" i="1"/>
  <c r="B63" i="1"/>
  <c r="B62" i="1"/>
  <c r="B60" i="1"/>
  <c r="B58" i="1"/>
  <c r="B57" i="1"/>
  <c r="B56" i="1"/>
  <c r="B55" i="1"/>
  <c r="B53" i="1"/>
  <c r="B52" i="1"/>
  <c r="B51" i="1"/>
  <c r="B50" i="1"/>
  <c r="B49" i="1"/>
  <c r="B48" i="1"/>
  <c r="B46" i="1"/>
  <c r="B44" i="1"/>
  <c r="B42" i="1"/>
  <c r="B41" i="1"/>
  <c r="B39" i="1"/>
  <c r="B38" i="1"/>
  <c r="B37" i="1"/>
  <c r="A51" i="1"/>
  <c r="F55" i="13" l="1"/>
  <c r="F48" i="13"/>
  <c r="H55" i="4"/>
  <c r="I55" i="4" s="1"/>
  <c r="H51" i="4"/>
  <c r="I51" i="4" s="1"/>
  <c r="H49" i="4"/>
  <c r="I49" i="4" s="1"/>
  <c r="H37" i="4"/>
  <c r="I37" i="4" s="1"/>
  <c r="H28" i="4"/>
  <c r="I28" i="4" s="1"/>
  <c r="H19" i="4"/>
  <c r="I19" i="4" s="1"/>
  <c r="H18" i="4"/>
  <c r="I18" i="4" s="1"/>
  <c r="H14" i="4"/>
  <c r="I14" i="4" s="1"/>
  <c r="H12" i="4"/>
  <c r="I12" i="4" s="1"/>
  <c r="H11" i="4"/>
  <c r="I11" i="4" s="1"/>
  <c r="H9" i="4"/>
  <c r="I9" i="4" s="1"/>
  <c r="H7" i="4"/>
  <c r="I7" i="4" s="1"/>
  <c r="H5" i="4"/>
  <c r="I5" i="4" s="1"/>
  <c r="R8" i="8" l="1"/>
  <c r="S8" i="8" l="1"/>
  <c r="A56" i="1"/>
  <c r="A55" i="1"/>
  <c r="Q10" i="8" l="1"/>
  <c r="Q18" i="8" l="1"/>
  <c r="F56" i="1" l="1"/>
  <c r="F52" i="13" s="1"/>
  <c r="F55" i="1"/>
  <c r="F51" i="13" s="1"/>
  <c r="I28" i="11" l="1"/>
  <c r="G28" i="11"/>
  <c r="E28" i="11"/>
  <c r="F44" i="13" l="1"/>
  <c r="F41" i="13"/>
  <c r="F63" i="1"/>
  <c r="F58" i="13" s="1"/>
  <c r="F62" i="1"/>
  <c r="F57" i="13" s="1"/>
  <c r="F60" i="1"/>
  <c r="F56" i="13" s="1"/>
  <c r="F53" i="1"/>
  <c r="F50" i="1"/>
  <c r="F47" i="13" s="1"/>
  <c r="F49" i="1"/>
  <c r="F46" i="13" s="1"/>
  <c r="F44" i="1"/>
  <c r="F42" i="13" s="1"/>
  <c r="F42" i="1"/>
  <c r="F40" i="13" s="1"/>
  <c r="F39" i="1"/>
  <c r="F38" i="13" s="1"/>
  <c r="F38" i="1"/>
  <c r="F37" i="13" s="1"/>
  <c r="A64" i="1"/>
  <c r="A63" i="1"/>
  <c r="A62" i="1"/>
  <c r="A60" i="1"/>
  <c r="A58" i="1"/>
  <c r="A57" i="1"/>
  <c r="A53" i="1"/>
  <c r="A52" i="1"/>
  <c r="A50" i="1"/>
  <c r="A49" i="1"/>
  <c r="A48" i="1"/>
  <c r="A46" i="1"/>
  <c r="A44" i="1"/>
  <c r="A42" i="1"/>
  <c r="A41" i="1"/>
  <c r="A39" i="1"/>
  <c r="A38" i="1"/>
  <c r="A37" i="1"/>
  <c r="S23" i="8" l="1"/>
  <c r="T23" i="8" s="1"/>
  <c r="B23" i="1" s="1"/>
  <c r="F19" i="13" s="1"/>
  <c r="F50" i="13"/>
  <c r="F26" i="1"/>
  <c r="F27" i="13" s="1"/>
  <c r="F31" i="1"/>
  <c r="F32" i="13" s="1"/>
  <c r="H28" i="1"/>
  <c r="F52" i="1"/>
  <c r="F49" i="13" s="1"/>
  <c r="F57" i="1"/>
  <c r="F53" i="13" s="1"/>
  <c r="F64" i="1"/>
  <c r="F59" i="13" s="1"/>
  <c r="F37" i="1"/>
  <c r="F36" i="13" s="1"/>
  <c r="F46" i="1"/>
  <c r="F43" i="13" s="1"/>
  <c r="F58" i="1"/>
  <c r="F54" i="13" s="1"/>
  <c r="F41" i="1"/>
  <c r="F39" i="13" s="1"/>
  <c r="F48" i="1"/>
  <c r="F45" i="13" s="1"/>
  <c r="F27" i="1"/>
  <c r="F28" i="13" s="1"/>
  <c r="F28" i="1"/>
  <c r="F29" i="13" s="1"/>
  <c r="H27" i="1"/>
  <c r="H31" i="1"/>
  <c r="H26" i="1"/>
  <c r="E36" i="11"/>
  <c r="I36" i="11"/>
  <c r="G36" i="11"/>
  <c r="H32" i="11"/>
  <c r="F32" i="11"/>
  <c r="H33" i="11"/>
  <c r="F33" i="11"/>
  <c r="D33" i="11"/>
  <c r="D23" i="11"/>
  <c r="E23" i="11" s="1"/>
  <c r="A15" i="13"/>
  <c r="G37" i="11"/>
  <c r="I37" i="11"/>
  <c r="E37" i="1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R15" i="8" l="1"/>
  <c r="S15" i="8" s="1"/>
  <c r="F66" i="1"/>
  <c r="R10" i="8"/>
  <c r="S10" i="8" s="1"/>
  <c r="F20" i="8"/>
  <c r="F23" i="8" s="1"/>
  <c r="H30" i="11"/>
  <c r="F30" i="11"/>
  <c r="D29" i="11"/>
  <c r="E29" i="11" s="1"/>
  <c r="H29" i="11"/>
  <c r="I29" i="11" s="1"/>
  <c r="F29" i="11"/>
  <c r="G29" i="11" s="1"/>
  <c r="F36" i="11"/>
  <c r="D28" i="11"/>
  <c r="F37" i="11"/>
  <c r="H37" i="11"/>
  <c r="F28" i="11"/>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R18" i="8" l="1"/>
  <c r="S18" i="8"/>
  <c r="I33" i="1"/>
  <c r="I66" i="1"/>
  <c r="E11" i="8"/>
  <c r="H26" i="11"/>
  <c r="I26" i="11" s="1"/>
  <c r="O16" i="1" l="1"/>
  <c r="B18" i="1"/>
  <c r="F61" i="13"/>
  <c r="H19" i="8" a="1"/>
  <c r="H19" i="8" s="1"/>
  <c r="G21" i="1"/>
  <c r="E4" i="8"/>
  <c r="E3" i="8"/>
  <c r="E5" i="8"/>
  <c r="F34" i="13"/>
  <c r="E21" i="8"/>
  <c r="G21" i="8" s="1"/>
  <c r="B17" i="1"/>
  <c r="F15" i="8"/>
  <c r="E13" i="8"/>
  <c r="F14" i="8"/>
  <c r="F13" i="8"/>
  <c r="F12" i="8"/>
  <c r="F11" i="8"/>
  <c r="G11" i="8" s="1"/>
  <c r="E14" i="8"/>
  <c r="E15" i="8"/>
  <c r="E12" i="8"/>
  <c r="E22" i="8"/>
  <c r="G22" i="8" s="1"/>
  <c r="E20" i="8"/>
  <c r="G20" i="8" s="1"/>
  <c r="G15" i="8" l="1"/>
  <c r="H13" i="8"/>
  <c r="H15" i="8"/>
  <c r="E23" i="8"/>
  <c r="G23" i="8" s="1"/>
  <c r="H11" i="8"/>
  <c r="H14" i="8"/>
  <c r="H12" i="8"/>
  <c r="G12" i="8"/>
  <c r="G14" i="8"/>
  <c r="G13" i="8"/>
  <c r="G16" i="8" l="1"/>
  <c r="B20" i="1" s="1"/>
  <c r="H16" i="8" a="1"/>
  <c r="H16" i="8" s="1"/>
  <c r="O20" i="1" s="1"/>
  <c r="P20" i="1" l="1"/>
  <c r="F16" i="13"/>
  <c r="G5" i="8"/>
  <c r="H22" i="8"/>
  <c r="H20" i="8"/>
  <c r="H21" i="8"/>
  <c r="H23" i="8" l="1" a="1"/>
  <c r="H23" i="8" s="1"/>
  <c r="O25" i="1" s="1"/>
  <c r="G4" i="8"/>
  <c r="G3" i="8" l="1"/>
  <c r="E6" i="8"/>
  <c r="G6" i="8" l="1"/>
  <c r="B21" i="1" l="1"/>
  <c r="G18" i="1" s="1"/>
  <c r="F17" i="13"/>
  <c r="F18" i="13" l="1"/>
  <c r="G20" i="1"/>
  <c r="G23" i="1" s="1"/>
  <c r="G22" i="1" s="1"/>
  <c r="F20" i="13" s="1"/>
  <c r="P25" i="1"/>
  <c r="F2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<sst xmlns="http://schemas.openxmlformats.org/spreadsheetml/2006/main" count="434" uniqueCount="264">
  <si>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</si>
  <si>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</si>
  <si>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</si>
  <si>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</si>
  <si>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</si>
  <si>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</si>
  <si>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</si>
  <si>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</si>
  <si>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</si>
  <si>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</si>
  <si>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</si>
  <si>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</si>
  <si>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</si>
  <si>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</si>
  <si>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</si>
  <si>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</si>
  <si>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</si>
  <si>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</si>
  <si>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</si>
  <si>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</si>
  <si>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</si>
  <si>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</si>
  <si>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</si>
  <si>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</si>
  <si>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</si>
  <si>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</si>
  <si>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</si>
  <si>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</si>
  <si>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</si>
  <si>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</si>
  <si>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</si>
  <si>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</si>
  <si>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</si>
  <si>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</si>
  <si>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</si>
  <si>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</si>
  <si>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</si>
  <si>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</si>
  <si>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</si>
  <si>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</si>
  <si>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</si>
  <si>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</si>
  <si>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</si>
  <si>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</si>
  <si>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</si>
  <si>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</si>
  <si>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</si>
  <si>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</si>
  <si>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</si>
  <si>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</si>
  <si>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</si>
  <si>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</si>
  <si>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</si>
  <si>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</si>
  <si>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</si>
  <si>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</si>
  <si>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</si>
  <si>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</si>
  <si>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</si>
  <si>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</si>
  <si>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</si>
  <si>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</si>
  <si>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</si>
  <si>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</si>
  <si>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</si>
  <si>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</si>
  <si>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</si>
  <si>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</si>
  <si>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</si>
  <si>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</si>
  <si>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</si>
  <si>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</si>
  <si>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</si>
  <si>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</si>
  <si>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</si>
  <si>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</si>
  <si>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</si>
  <si>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</si>
  <si>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</si>
  <si>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</si>
  <si>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</si>
  <si>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</si>
  <si>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</si>
  <si>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</si>
  <si>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</si>
  <si>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</si>
  <si>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</si>
  <si>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</si>
  <si>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</si>
  <si>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</si>
  <si>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</si>
  <si>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</si>
  <si>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</si>
  <si>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</si>
  <si>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</si>
  <si>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</si>
  <si>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</si>
  <si>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</si>
  <si>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</si>
  <si>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</si>
  <si>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</si>
  <si>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</si>
  <si>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</si>
  <si>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</si>
  <si>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</si>
  <si>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</si>
  <si>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Rate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</si>
  <si>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</si>
  <si>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</si>
  <si>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</si>
  <si>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</si>
  <si>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</si>
  <si>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</si>
  <si>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</si>
  <si>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</si>
  <si>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</si>
  <si>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</si>
  <si>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</si>
  <si>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QUALIFYING FUNGICIDE EOP SUB-TOTAL</t>
  </si>
  <si>
    <t>QUALIFYING EOP PRODUCTS SUB-TOTAL</t>
  </si>
  <si>
    <t>4 x 26 oz</t>
  </si>
  <si>
    <t>4 x 37 fl oz</t>
  </si>
  <si>
    <t>4 x 1 gal</t>
  </si>
  <si>
    <t>2 x 1 gal</t>
  </si>
  <si>
    <t>4 x 0.5 gal</t>
  </si>
  <si>
    <t>4 x 0.125 gal</t>
  </si>
  <si>
    <t>12 x 0.25 gal</t>
  </si>
  <si>
    <t>4 x 20 oz</t>
  </si>
  <si>
    <t>Maxtima® Fungicide</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</si>
  <si>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</si>
  <si>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</si>
  <si>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</si>
  <si>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</si>
  <si>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</si>
  <si>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</si>
  <si>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</si>
  <si>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</si>
  <si>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</si>
  <si>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</si>
  <si>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</si>
  <si>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</si>
  <si>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</si>
  <si>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</si>
  <si>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</si>
  <si>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</si>
  <si>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</si>
  <si>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</si>
  <si>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</si>
  <si>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</si>
  <si>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</si>
  <si>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</si>
  <si>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</si>
  <si>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</si>
  <si>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</si>
  <si>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</si>
  <si>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</si>
  <si>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</si>
  <si>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</si>
  <si>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</si>
  <si>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</si>
  <si>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</si>
  <si>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</si>
  <si>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</si>
  <si>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</si>
  <si>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</si>
  <si>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</si>
  <si>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</si>
  <si>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</si>
  <si>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</si>
  <si>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</si>
  <si>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Ventigra® insecticide</t>
  </si>
  <si>
    <t>4 x 16 oz</t>
  </si>
  <si>
    <t>4 x 4 oz</t>
  </si>
  <si>
    <t>Encartis® fungicide</t>
  </si>
  <si>
    <t>Encartis</t>
  </si>
  <si>
    <t xml:space="preserve">Finale®  XL T&amp;O herbicide </t>
  </si>
  <si>
    <t>130.5 fl oz</t>
  </si>
  <si>
    <t>152.5 fl oz</t>
  </si>
  <si>
    <t>174.0 fl oz</t>
  </si>
  <si>
    <t>Insecticides</t>
  </si>
  <si>
    <t>Fungicides</t>
  </si>
  <si>
    <t>Herbicides</t>
  </si>
  <si>
    <t>Colorants</t>
  </si>
  <si>
    <t>Earned Incentive %</t>
  </si>
  <si>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</si>
  <si>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</si>
  <si>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</si>
  <si>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</si>
  <si>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</si>
  <si>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</si>
  <si>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t>Qualifying EOP Purchase Level (Excluding DYOP Fungicides)</t>
  </si>
  <si>
    <t>DYOP Rebate</t>
  </si>
  <si>
    <t>DYOP Total Purchases</t>
  </si>
  <si>
    <t>Qualifying Fungicide Purchase Level (DYOP)</t>
  </si>
  <si>
    <t>DYOP Rebate Program Locked</t>
  </si>
  <si>
    <t>Spend for Next DYOP Level</t>
  </si>
  <si>
    <t>Upgrade Your DYOP Rebate</t>
  </si>
  <si>
    <t>DYOP Rebate Attained</t>
  </si>
  <si>
    <t>10 x 2.375 lbs</t>
  </si>
  <si>
    <t>oz</t>
  </si>
  <si>
    <t>DYOP</t>
  </si>
  <si>
    <t>$8,000-$19,999</t>
  </si>
  <si>
    <t>$3,000-$7,999</t>
  </si>
  <si>
    <t>$20,000+</t>
  </si>
  <si>
    <t>Design Your Own Program (DYOP)</t>
  </si>
  <si>
    <t>Pillar® SC Intrinsic brand fungicide</t>
  </si>
  <si>
    <t>Spray Indicators</t>
  </si>
  <si>
    <t>Design-Your-Own-Program Rebate Purchases Sub-Total</t>
  </si>
  <si>
    <t>Across the Course Solutions (ACS)</t>
  </si>
  <si>
    <t>CA Redemption</t>
  </si>
  <si>
    <t>NO CA</t>
  </si>
  <si>
    <t>Total Effective Rebate on All Purchases</t>
  </si>
  <si>
    <t>Across-the-Course-Solutions Rebate Purchase Sub-Total</t>
  </si>
  <si>
    <t>Aramax™ Intrinsic® Brand Fungicide</t>
  </si>
  <si>
    <t>Aramax</t>
  </si>
  <si>
    <t>Quantity Ordered</t>
  </si>
  <si>
    <t>Conv. to bottle</t>
  </si>
  <si>
    <t>Discontinued</t>
  </si>
  <si>
    <t>lawn care only</t>
  </si>
  <si>
    <t>Discontinued ???</t>
  </si>
  <si>
    <t>Aramax™ Intrinsic brand fungicide</t>
  </si>
  <si>
    <t>4 x 43.5 fl oz</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</si>
  <si>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</si>
  <si>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</si>
  <si>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</si>
  <si>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</si>
  <si>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</si>
  <si>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</si>
  <si>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</si>
  <si>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</si>
  <si>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Min Bottles</t>
  </si>
  <si>
    <t>Sales</t>
  </si>
  <si>
    <t>Award</t>
  </si>
  <si>
    <t>Percent</t>
  </si>
  <si>
    <t>Oct. 1-31, 2026</t>
  </si>
  <si>
    <t>Nov. 1-Dec. 4, 2026</t>
  </si>
  <si>
    <t>Oct.1-Dec. 4, 2026</t>
  </si>
  <si>
    <t>Total Effective Rebate Percentage</t>
  </si>
  <si>
    <t>Not in NY</t>
  </si>
  <si>
    <t>Drums</t>
  </si>
  <si>
    <t>2027 Qualifying Fungicides</t>
  </si>
  <si>
    <t>2027 Rest of Portfolio</t>
  </si>
  <si>
    <t>BASF 2027 EOP ORDER SUMMARY</t>
  </si>
  <si>
    <t>Across-The-Lawn Rebate</t>
  </si>
  <si>
    <t>Across-the-Lawn-Solutions Purchases</t>
  </si>
  <si>
    <t>Across-the-Lawn-Solutions Rebate</t>
  </si>
  <si>
    <t>4 x 435 fl oz</t>
  </si>
  <si>
    <t>2 x 128 fl oz</t>
  </si>
  <si>
    <t>$20,000-$29,999</t>
  </si>
  <si>
    <t>$30,000-$39,999</t>
  </si>
  <si>
    <t>$40,000+</t>
  </si>
  <si>
    <t>17% (+12% on ATL brands)</t>
  </si>
  <si>
    <t>20% (+12% on ATL brands)</t>
  </si>
  <si>
    <t>24% (+12% on ATL brands)</t>
  </si>
  <si>
    <t>9% (+12% on ATL brands)</t>
  </si>
  <si>
    <t>10% (+12% on ATL brands)</t>
  </si>
  <si>
    <t>12% (+12% on ATL Brands)</t>
  </si>
  <si>
    <t>(DYOP Tiers 3, 4, &amp; 5 automatically qualify for this tier)</t>
  </si>
  <si>
    <t>Spend for Next ATL Level</t>
  </si>
  <si>
    <t>Volume</t>
  </si>
  <si>
    <t>Rebate Sales Total</t>
  </si>
  <si>
    <t>Buy 1 or More Fungicide Brands</t>
  </si>
  <si>
    <t>Tower® Power Kicker Rebate
(2-bottles min)</t>
  </si>
  <si>
    <t>Tower® Power Kicker Rebate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</si>
</sst>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4"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sz val="9"/>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2" fillId="0" borderId="0"/>
  </cellStyleXfs>
  <cellXfs count="323">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0" fontId="0" fillId="0" borderId="1" xfId="0" applyBorder="1" applyAlignment="1">
      <alignment horizontal="center"/>
    </xf>
    <xf numFmtId="0" fontId="6" fillId="0" borderId="1" xfId="0" applyFont="1" applyBorder="1" applyAlignment="1">
      <alignment horizontal="center"/>
    </xf>
    <xf numFmtId="0" fontId="9" fillId="0" borderId="0" xfId="37" applyFont="1"/>
    <xf numFmtId="0" fontId="28" fillId="0" borderId="0" xfId="0" applyFont="1"/>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3" fillId="18" borderId="1" xfId="0" applyFont="1" applyFill="1" applyBorder="1" applyAlignment="1">
      <alignment horizontal="center" vertical="center" wrapText="1"/>
    </xf>
    <xf numFmtId="44" fontId="33" fillId="18" borderId="1" xfId="33" applyFont="1" applyFill="1" applyBorder="1" applyAlignment="1">
      <alignment horizontal="center" vertical="center" wrapText="1"/>
    </xf>
    <xf numFmtId="0" fontId="34" fillId="0" borderId="11" xfId="0" applyFont="1" applyBorder="1" applyAlignment="1">
      <alignment horizontal="center"/>
    </xf>
    <xf numFmtId="0" fontId="35" fillId="0" borderId="11" xfId="0" applyFont="1" applyBorder="1" applyAlignment="1">
      <alignment horizontal="center" vertical="center"/>
    </xf>
    <xf numFmtId="0" fontId="36" fillId="0" borderId="11" xfId="0" applyFont="1" applyBorder="1" applyAlignment="1">
      <alignment horizontal="center" vertical="center"/>
    </xf>
    <xf numFmtId="44" fontId="5" fillId="4" borderId="1" xfId="33" applyFont="1" applyFill="1" applyBorder="1" applyAlignment="1"/>
    <xf numFmtId="0" fontId="5" fillId="24" borderId="0" xfId="0" applyFont="1" applyFill="1"/>
    <xf numFmtId="44" fontId="33"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6"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3" fillId="0" borderId="20" xfId="40" applyFont="1" applyBorder="1" applyAlignment="1">
      <alignment horizontal="center"/>
    </xf>
    <xf numFmtId="0" fontId="43" fillId="0" borderId="20"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0" fontId="16" fillId="0" borderId="0" xfId="0" applyFont="1" applyAlignment="1">
      <alignment horizontal="center"/>
    </xf>
    <xf numFmtId="0" fontId="5" fillId="25" borderId="0" xfId="0" applyFont="1" applyFill="1"/>
    <xf numFmtId="44" fontId="5" fillId="0" borderId="0" xfId="33" applyFont="1"/>
    <xf numFmtId="44" fontId="5" fillId="0" borderId="21" xfId="33" applyFont="1" applyBorder="1"/>
    <xf numFmtId="44" fontId="5" fillId="0" borderId="21" xfId="33" applyFont="1" applyBorder="1" applyAlignment="1"/>
    <xf numFmtId="10" fontId="5" fillId="0" borderId="0" xfId="35" applyNumberFormat="1"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3" fillId="0" borderId="22" xfId="40" applyFont="1" applyBorder="1" applyAlignment="1">
      <alignment horizontal="center" vertical="center"/>
    </xf>
    <xf numFmtId="0" fontId="6" fillId="0" borderId="4" xfId="1" applyFont="1" applyBorder="1"/>
    <xf numFmtId="0" fontId="6" fillId="0" borderId="4" xfId="1" applyFont="1" applyBorder="1" applyAlignment="1">
      <alignment horizontal="center"/>
    </xf>
    <xf numFmtId="44" fontId="5" fillId="0" borderId="4" xfId="33" applyFont="1" applyBorder="1" applyAlignment="1"/>
    <xf numFmtId="0" fontId="5" fillId="0" borderId="4" xfId="0" applyFont="1" applyBorder="1"/>
    <xf numFmtId="0" fontId="43" fillId="0" borderId="23" xfId="40" applyFont="1" applyBorder="1" applyAlignment="1">
      <alignment horizontal="center" vertical="center"/>
    </xf>
    <xf numFmtId="0" fontId="6" fillId="0" borderId="6" xfId="1" applyFont="1" applyBorder="1"/>
    <xf numFmtId="0" fontId="6" fillId="0" borderId="6" xfId="1" applyFont="1" applyBorder="1" applyAlignment="1">
      <alignment horizontal="center"/>
    </xf>
    <xf numFmtId="44" fontId="5" fillId="0" borderId="6" xfId="33" applyFont="1" applyBorder="1" applyAlignment="1"/>
    <xf numFmtId="44" fontId="5" fillId="4" borderId="6" xfId="33" applyFont="1" applyFill="1" applyBorder="1" applyAlignment="1"/>
    <xf numFmtId="0" fontId="5" fillId="0" borderId="6" xfId="0" applyFont="1" applyBorder="1"/>
    <xf numFmtId="0" fontId="43" fillId="0" borderId="22" xfId="40" applyFont="1" applyBorder="1" applyAlignment="1">
      <alignment horizontal="center"/>
    </xf>
    <xf numFmtId="44" fontId="5" fillId="0" borderId="4" xfId="33" applyFont="1" applyBorder="1"/>
    <xf numFmtId="0" fontId="43" fillId="0" borderId="23" xfId="40" applyFont="1" applyBorder="1" applyAlignment="1">
      <alignment horizontal="center"/>
    </xf>
    <xf numFmtId="0" fontId="6" fillId="2" borderId="6" xfId="1" applyFont="1" applyFill="1" applyBorder="1"/>
    <xf numFmtId="44" fontId="5" fillId="0" borderId="6" xfId="33" applyFont="1" applyBorder="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3"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3" fillId="12" borderId="1" xfId="40" applyFont="1" applyFill="1" applyBorder="1" applyAlignment="1">
      <alignment horizontal="center" vertical="center"/>
    </xf>
    <xf numFmtId="0" fontId="5" fillId="12" borderId="1" xfId="0" applyFont="1" applyFill="1" applyBorder="1"/>
    <xf numFmtId="44" fontId="5" fillId="12" borderId="1" xfId="33" applyFont="1" applyFill="1" applyBorder="1"/>
    <xf numFmtId="0" fontId="0" fillId="0" borderId="11" xfId="0" applyBorder="1"/>
    <xf numFmtId="43" fontId="14" fillId="0" borderId="0" xfId="0" applyNumberFormat="1" applyFont="1" applyAlignment="1">
      <alignment horizontal="right" vertical="center"/>
    </xf>
    <xf numFmtId="9" fontId="14" fillId="0" borderId="0" xfId="35" applyFont="1" applyFill="1" applyBorder="1" applyAlignment="1">
      <alignment horizontal="center" vertical="center"/>
    </xf>
    <xf numFmtId="0" fontId="28" fillId="0" borderId="0" xfId="0" applyFont="1" applyAlignment="1">
      <alignment horizontal="center" vertical="center" wrapText="1"/>
    </xf>
    <xf numFmtId="0" fontId="13" fillId="0" borderId="0" xfId="0" applyFont="1" applyAlignment="1">
      <alignment horizontal="center" vertical="center" wrapText="1"/>
    </xf>
    <xf numFmtId="0" fontId="27" fillId="0" borderId="0" xfId="0" applyFont="1" applyAlignment="1">
      <alignment horizontal="center"/>
    </xf>
    <xf numFmtId="44" fontId="5" fillId="0" borderId="0" xfId="33" applyFont="1" applyBorder="1" applyAlignment="1"/>
    <xf numFmtId="44" fontId="27" fillId="0" borderId="0" xfId="33" applyFont="1" applyBorder="1" applyAlignment="1"/>
    <xf numFmtId="0" fontId="7" fillId="3" borderId="0" xfId="1" applyFont="1" applyFill="1" applyAlignment="1">
      <alignment horizontal="center" vertical="center"/>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44" fontId="35" fillId="0" borderId="0" xfId="33" applyFont="1" applyFill="1" applyBorder="1" applyAlignment="1">
      <alignment horizontal="center" vertical="center"/>
    </xf>
    <xf numFmtId="0" fontId="28" fillId="0" borderId="0" xfId="0" applyFont="1" applyAlignment="1">
      <alignment horizontal="center" vertical="center" wrapText="1"/>
    </xf>
    <xf numFmtId="0" fontId="13" fillId="0" borderId="0" xfId="0" applyFont="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2" borderId="16" xfId="35" applyFont="1" applyFill="1" applyBorder="1" applyAlignment="1">
      <alignment horizontal="center" vertical="center"/>
    </xf>
    <xf numFmtId="9" fontId="14" fillId="2" borderId="0" xfId="35" applyFont="1" applyFill="1" applyBorder="1" applyAlignment="1">
      <alignment horizontal="center" vertical="center"/>
    </xf>
    <xf numFmtId="0" fontId="0" fillId="0" borderId="0" xfId="0" applyAlignment="1">
      <alignment horizontal="center"/>
    </xf>
    <xf numFmtId="0" fontId="33" fillId="18" borderId="0" xfId="0" applyFont="1" applyFill="1" applyAlignment="1">
      <alignment horizontal="center" vertical="center"/>
    </xf>
    <xf numFmtId="0" fontId="14" fillId="0" borderId="0" xfId="0" applyFont="1" applyAlignment="1">
      <alignment horizontal="center" vertical="center" wrapText="1"/>
    </xf>
    <xf numFmtId="0" fontId="33" fillId="18" borderId="0" xfId="0" applyFont="1" applyFill="1" applyAlignment="1">
      <alignment horizontal="center" vertical="center" wrapText="1"/>
    </xf>
    <xf numFmtId="44" fontId="36"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9" fontId="14" fillId="0" borderId="0" xfId="35" applyFont="1" applyFill="1" applyBorder="1" applyAlignment="1">
      <alignment horizontal="center" vertical="center"/>
    </xf>
    <xf numFmtId="0" fontId="28" fillId="18" borderId="0" xfId="0" applyFont="1" applyFill="1" applyAlignment="1">
      <alignment horizontal="center" vertical="center" wrapText="1"/>
    </xf>
    <xf numFmtId="0" fontId="24" fillId="2" borderId="0" xfId="0" applyFont="1" applyFill="1" applyAlignment="1">
      <alignment horizontal="center"/>
    </xf>
    <xf numFmtId="0" fontId="32" fillId="0" borderId="8" xfId="37" applyFont="1" applyBorder="1" applyAlignment="1">
      <alignment horizontal="center" vertical="center" wrapText="1"/>
    </xf>
    <xf numFmtId="0" fontId="32" fillId="0" borderId="15" xfId="37" applyFont="1" applyBorder="1" applyAlignment="1">
      <alignment horizontal="center" vertical="center" wrapText="1"/>
    </xf>
    <xf numFmtId="0" fontId="32" fillId="0" borderId="10" xfId="37" applyFont="1" applyBorder="1" applyAlignment="1">
      <alignment horizontal="center" vertical="center" wrapText="1"/>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25" fillId="0" borderId="0" xfId="0" applyNumberFormat="1" applyFont="1" applyAlignment="1">
      <alignment horizontal="center" vertical="center"/>
    </xf>
    <xf numFmtId="0" fontId="22" fillId="0" borderId="0" xfId="0" applyFont="1" applyAlignment="1">
      <alignment horizontal="center" vertical="center"/>
    </xf>
    <xf numFmtId="0" fontId="0" fillId="0" borderId="0" xfId="0" applyAlignment="1">
      <alignment horizontal="left" vertical="top" wrapText="1"/>
    </xf>
    <xf numFmtId="9" fontId="35" fillId="0" borderId="0" xfId="35" applyFont="1" applyFill="1" applyBorder="1" applyAlignment="1">
      <alignment horizontal="center" vertical="center"/>
    </xf>
    <xf numFmtId="0" fontId="34" fillId="0" borderId="11" xfId="0" applyFont="1" applyBorder="1" applyAlignment="1">
      <alignment horizontal="center" vertical="center" wrapText="1"/>
    </xf>
    <xf numFmtId="0" fontId="34" fillId="0" borderId="11" xfId="0" applyFont="1" applyBorder="1" applyAlignment="1">
      <alignment horizontal="center" vertical="center"/>
    </xf>
    <xf numFmtId="9" fontId="34" fillId="0" borderId="0" xfId="35" applyFont="1" applyFill="1" applyBorder="1" applyAlignment="1">
      <alignment horizontal="center" vertical="center" wrapText="1"/>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39" fillId="0" borderId="0" xfId="0" applyFont="1" applyAlignment="1">
      <alignment horizontal="center" vertical="center"/>
    </xf>
    <xf numFmtId="44" fontId="40" fillId="0" borderId="0" xfId="33" applyFont="1" applyFill="1" applyBorder="1" applyAlignment="1">
      <alignment horizontal="center" vertical="center"/>
    </xf>
    <xf numFmtId="44" fontId="40" fillId="0" borderId="12" xfId="33" applyFont="1" applyFill="1" applyBorder="1" applyAlignment="1">
      <alignment horizontal="center" vertical="center"/>
    </xf>
    <xf numFmtId="0" fontId="36"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35" fillId="0" borderId="12" xfId="33" applyFont="1" applyFill="1" applyBorder="1" applyAlignment="1">
      <alignment horizontal="center" vertical="center"/>
    </xf>
    <xf numFmtId="44" fontId="22" fillId="5" borderId="1" xfId="1" applyNumberFormat="1" applyFont="1" applyFill="1" applyBorder="1" applyAlignment="1">
      <alignment horizontal="center"/>
    </xf>
    <xf numFmtId="0" fontId="35"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38" fillId="0" borderId="0" xfId="0" applyFont="1" applyAlignment="1">
      <alignment horizontal="center" vertical="center"/>
    </xf>
    <xf numFmtId="0" fontId="33" fillId="21" borderId="2"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33"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24" fillId="3" borderId="0" xfId="33" applyFont="1" applyFill="1" applyAlignment="1">
      <alignment horizontal="center" vertical="center"/>
    </xf>
    <xf numFmtId="10" fontId="13" fillId="9" borderId="0" xfId="35" applyNumberFormat="1" applyFont="1" applyFill="1" applyAlignment="1">
      <alignment horizontal="center" vertical="center"/>
    </xf>
    <xf numFmtId="44" fontId="1" fillId="9" borderId="0" xfId="33" applyFont="1" applyFill="1" applyAlignment="1">
      <alignment horizontal="left"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1" fillId="2" borderId="1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17">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0</xdr:col>
      <xdr:colOff>0</xdr:colOff>
      <xdr:row>0</xdr:row>
      <xdr:rowOff>0</xdr:rowOff>
    </xdr:from>
    <xdr:to>
      <xdr:col>13</xdr:col>
      <xdr:colOff>9525</xdr:colOff>
      <xdr:row>6</xdr:row>
      <xdr:rowOff>314325</xdr:rowOff>
    </xdr:to>
    <xdr:pic>
      <xdr:nvPicPr>
        <xdr:cNvPr id="4" name="Picture 3">
          <a:extLst>
            <a:ext uri="{FF2B5EF4-FFF2-40B4-BE49-F238E27FC236}">
              <a16:creationId xmlns:a16="http://schemas.microsoft.com/office/drawing/2014/main" id="{9E1FCB03-7272-F0D5-FC05-F95A3455F1D8}"/>
            </a:ext>
          </a:extLst>
        </xdr:cNvPr>
        <xdr:cNvPicPr>
          <a:picLocks noChangeAspect="1"/>
        </xdr:cNvPicPr>
      </xdr:nvPicPr>
      <xdr:blipFill>
        <a:blip xmlns:r="http://schemas.openxmlformats.org/officeDocument/2006/relationships" r:embed="rId2"/>
        <a:stretch>
          <a:fillRect/>
        </a:stretch>
      </xdr:blipFill>
      <xdr:spPr>
        <a:xfrm>
          <a:off x="0" y="0"/>
          <a:ext cx="10334625" cy="2105025"/>
        </a:xfrm>
        <a:prstGeom prst="rect">
          <a:avLst/>
        </a:prstGeom>
      </xdr:spPr>
    </xdr:pic>
    <xdr:clientData/>
  </xdr:twoCellAnchor>
  <xdr:twoCellAnchor editAs="oneCell">
    <xdr:from>
      <xdr:col>0</xdr:col>
      <xdr:colOff>0</xdr:colOff>
      <xdr:row>8</xdr:row>
      <xdr:rowOff>9526</xdr:rowOff>
    </xdr:from>
    <xdr:to>
      <xdr:col>8</xdr:col>
      <xdr:colOff>0</xdr:colOff>
      <xdr:row>15</xdr:row>
      <xdr:rowOff>9526</xdr:rowOff>
    </xdr:to>
    <xdr:pic>
      <xdr:nvPicPr>
        <xdr:cNvPr id="2" name="Picture 1">
          <a:extLst>
            <a:ext uri="{FF2B5EF4-FFF2-40B4-BE49-F238E27FC236}">
              <a16:creationId xmlns:a16="http://schemas.microsoft.com/office/drawing/2014/main" id="{1E48CF44-596D-A43A-5D7E-5C094A9716F2}"/>
            </a:ext>
          </a:extLst>
        </xdr:cNvPr>
        <xdr:cNvPicPr>
          <a:picLocks noChangeAspect="1"/>
        </xdr:cNvPicPr>
      </xdr:nvPicPr>
      <xdr:blipFill>
        <a:blip xmlns:r="http://schemas.openxmlformats.org/officeDocument/2006/relationships" r:embed="rId3"/>
        <a:stretch>
          <a:fillRect/>
        </a:stretch>
      </xdr:blipFill>
      <xdr:spPr>
        <a:xfrm>
          <a:off x="0" y="2352676"/>
          <a:ext cx="10334624" cy="1276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19050</xdr:colOff>
      <xdr:row>11</xdr:row>
      <xdr:rowOff>142876</xdr:rowOff>
    </xdr:to>
    <xdr:pic>
      <xdr:nvPicPr>
        <xdr:cNvPr id="2" name="Picture 1">
          <a:extLst>
            <a:ext uri="{FF2B5EF4-FFF2-40B4-BE49-F238E27FC236}">
              <a16:creationId xmlns:a16="http://schemas.microsoft.com/office/drawing/2014/main" id="{1DB0D709-FFF7-CA70-1ABB-D6C3FF2BCC2A}"/>
            </a:ext>
          </a:extLst>
        </xdr:cNvPr>
        <xdr:cNvPicPr>
          <a:picLocks noChangeAspect="1"/>
        </xdr:cNvPicPr>
      </xdr:nvPicPr>
      <xdr:blipFill>
        <a:blip xmlns:r="http://schemas.openxmlformats.org/officeDocument/2006/relationships" r:embed="rId1"/>
        <a:stretch>
          <a:fillRect/>
        </a:stretch>
      </xdr:blipFill>
      <xdr:spPr>
        <a:xfrm>
          <a:off x="0" y="1"/>
          <a:ext cx="10601325" cy="1924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ncartis@%20fungicid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P80"/>
  <sheetViews>
    <sheetView showGridLines="0" tabSelected="1" zoomScaleNormal="100" workbookViewId="0">
      <selection activeCell="G23" sqref="G23:H23"/>
    </sheetView>
  </sheetViews>
  <sheetFormatPr defaultColWidth="8.85546875" defaultRowHeight="12.75" x14ac:dyDescent="0.2"/>
  <cols>
    <col min="1" max="1" width="46.28515625" customWidth="1"/>
    <col min="2" max="2" width="15.7109375" customWidth="1"/>
    <col min="3" max="3" width="14.5703125" customWidth="1"/>
    <col min="4" max="4" width="15.42578125" customWidth="1"/>
    <col min="5" max="8" width="15.7109375" customWidth="1"/>
    <col min="9" max="11" width="6.7109375" hidden="1" customWidth="1"/>
    <col min="12" max="12" width="9.7109375" hidden="1" customWidth="1"/>
    <col min="13" max="13" width="12.28515625" hidden="1" customWidth="1"/>
    <col min="14" max="14" width="2" customWidth="1"/>
    <col min="15" max="15" width="31.7109375" customWidth="1"/>
    <col min="16" max="16" width="16.140625" customWidth="1"/>
    <col min="17" max="17" width="12.85546875" bestFit="1" customWidth="1"/>
    <col min="18" max="18" width="11.140625" customWidth="1"/>
  </cols>
  <sheetData>
    <row r="1" spans="1:16" ht="32.25" customHeight="1" x14ac:dyDescent="0.2"/>
    <row r="2" spans="1:16" ht="39" customHeight="1" x14ac:dyDescent="0.2"/>
    <row r="3" spans="1:16" ht="27" customHeight="1" x14ac:dyDescent="0.2"/>
    <row r="5" spans="1:16" ht="14.25" customHeight="1" x14ac:dyDescent="0.2"/>
    <row r="6" spans="1:16" ht="16.149999999999999" customHeight="1" x14ac:dyDescent="0.2"/>
    <row r="7" spans="1:16" ht="25.5" customHeight="1" x14ac:dyDescent="0.2">
      <c r="A7" s="235"/>
      <c r="B7" s="235"/>
      <c r="C7" s="235"/>
      <c r="D7" s="235"/>
      <c r="E7" s="235"/>
      <c r="F7" s="235"/>
      <c r="G7" s="235"/>
      <c r="H7" s="235"/>
    </row>
    <row r="8" spans="1:16" ht="18" customHeight="1" x14ac:dyDescent="0.25">
      <c r="A8" s="247"/>
      <c r="B8" s="247"/>
      <c r="C8" s="247"/>
      <c r="D8" s="247"/>
      <c r="E8" s="247"/>
      <c r="F8" s="247"/>
      <c r="G8" s="247"/>
      <c r="H8" s="247"/>
      <c r="N8" s="213"/>
    </row>
    <row r="9" spans="1:16" ht="18" x14ac:dyDescent="0.25">
      <c r="A9" s="250"/>
      <c r="B9" s="250"/>
      <c r="C9" s="250"/>
      <c r="D9" s="250"/>
      <c r="E9" s="250"/>
      <c r="F9" s="250"/>
      <c r="G9" s="250"/>
      <c r="H9" s="250"/>
      <c r="N9" s="213"/>
    </row>
    <row r="10" spans="1:16" ht="15.75" customHeight="1" x14ac:dyDescent="0.2">
      <c r="N10" s="213"/>
    </row>
    <row r="11" spans="1:16" x14ac:dyDescent="0.2">
      <c r="N11" s="213"/>
    </row>
    <row r="12" spans="1:16" x14ac:dyDescent="0.2">
      <c r="J12" s="55"/>
      <c r="N12" s="213"/>
    </row>
    <row r="13" spans="1:16" x14ac:dyDescent="0.2">
      <c r="N13" s="213"/>
    </row>
    <row r="14" spans="1:16" x14ac:dyDescent="0.2">
      <c r="N14" s="213"/>
    </row>
    <row r="15" spans="1:16" ht="15.75" x14ac:dyDescent="0.2">
      <c r="N15" s="213"/>
      <c r="O15" s="236" t="s">
        <v>196</v>
      </c>
      <c r="P15" s="236"/>
    </row>
    <row r="16" spans="1:16" ht="16.5" customHeight="1" x14ac:dyDescent="0.2">
      <c r="A16" s="251" t="s">
        <v>73</v>
      </c>
      <c r="B16" s="252"/>
      <c r="C16" s="252"/>
      <c r="D16" s="252"/>
      <c r="E16" s="252"/>
      <c r="F16" s="252"/>
      <c r="G16" s="252"/>
      <c r="H16" s="253"/>
      <c r="J16" s="55"/>
      <c r="O16" s="237" t="str">
        <f>IF('Range Reference'!S18=0,"Buy 1 fungicide brand to qualify (min. purchase $3,000)","Qualified")</f>
        <v>Buy 1 fungicide brand to qualify (min. purchase $3,000)</v>
      </c>
      <c r="P16" s="237"/>
    </row>
    <row r="17" spans="1:16" ht="16.5" customHeight="1" x14ac:dyDescent="0.25">
      <c r="A17" s="131" t="s">
        <v>194</v>
      </c>
      <c r="B17" s="256" t="str">
        <f>IF(AND(F33&gt;=3000,'Range Reference'!Q18&gt;=1),"October Rebate Locked",IF(AND(I33&gt;=3000,'Range Reference'!S18&gt;=1),"Nov-Dec Rebate Locked","Rebate Level Not Achieved"))</f>
        <v>Rebate Level Not Achieved</v>
      </c>
      <c r="C17" s="256"/>
      <c r="D17" s="257" t="s">
        <v>192</v>
      </c>
      <c r="E17" s="257"/>
      <c r="F17" s="257"/>
      <c r="G17" s="254">
        <f>'Article Reference'!G20</f>
        <v>0</v>
      </c>
      <c r="H17" s="255"/>
      <c r="J17" s="55"/>
      <c r="O17" s="237"/>
      <c r="P17" s="237"/>
    </row>
    <row r="18" spans="1:16" ht="16.5" customHeight="1" x14ac:dyDescent="0.2">
      <c r="A18" s="260" t="s">
        <v>261</v>
      </c>
      <c r="B18" s="262" t="str">
        <f>IF(AND(G17&gt;=3000,'Range Reference'!S18&gt;=1),"Design Your Own Program Rebate","Buy "&amp;1-'Range Reference'!S18&amp;" Brand and $3K")</f>
        <v>Buy 1 Brand and $3K</v>
      </c>
      <c r="C18" s="262"/>
      <c r="D18" s="257" t="s">
        <v>191</v>
      </c>
      <c r="E18" s="257"/>
      <c r="F18" s="257"/>
      <c r="G18" s="254">
        <f>IF(AND(B20=0,B21&gt;0),G17*B21,(B20*G17))</f>
        <v>0</v>
      </c>
      <c r="H18" s="255"/>
      <c r="O18" s="238" t="s">
        <v>195</v>
      </c>
      <c r="P18" s="236" t="s">
        <v>169</v>
      </c>
    </row>
    <row r="19" spans="1:16" ht="16.5" customHeight="1" x14ac:dyDescent="0.2">
      <c r="A19" s="261"/>
      <c r="B19" s="262"/>
      <c r="C19" s="262"/>
      <c r="D19" s="257" t="s">
        <v>244</v>
      </c>
      <c r="E19" s="257"/>
      <c r="F19" s="257"/>
      <c r="G19" s="254">
        <f>'Article Reference'!G56</f>
        <v>0</v>
      </c>
      <c r="H19" s="255"/>
      <c r="O19" s="238"/>
      <c r="P19" s="236"/>
    </row>
    <row r="20" spans="1:16" ht="16.5" customHeight="1" x14ac:dyDescent="0.2">
      <c r="A20" s="132" t="s">
        <v>191</v>
      </c>
      <c r="B20" s="259">
        <f>'Range Reference'!G16</f>
        <v>0</v>
      </c>
      <c r="C20" s="259"/>
      <c r="D20" s="257" t="s">
        <v>245</v>
      </c>
      <c r="E20" s="257"/>
      <c r="F20" s="257"/>
      <c r="G20" s="254">
        <f>(G19*B21)</f>
        <v>0</v>
      </c>
      <c r="H20" s="255"/>
      <c r="O20" s="239" t="str">
        <f>IF(O16&lt;&gt;"Qualified","",HLOOKUP(G17,'Range Reference'!$H$10:$H$16,7,FALSE))</f>
        <v/>
      </c>
      <c r="P20" s="240" t="str">
        <f>IF(ISNA(IF(O20=0,"Max",VLOOKUP(O20,'Range Reference'!H11:I15,2,FALSE)))=TRUE,"",IF(O20=0,"Max",VLOOKUP(O20,'Range Reference'!H11:I15,2,FALSE)))</f>
        <v/>
      </c>
    </row>
    <row r="21" spans="1:16" ht="16.5" customHeight="1" x14ac:dyDescent="0.2">
      <c r="A21" s="132" t="s">
        <v>243</v>
      </c>
      <c r="B21" s="259">
        <f>IF(G17&gt;=20000,0.12,'Range Reference'!G6)</f>
        <v>0</v>
      </c>
      <c r="C21" s="259"/>
      <c r="D21" s="273" t="s">
        <v>74</v>
      </c>
      <c r="E21" s="273"/>
      <c r="F21" s="273"/>
      <c r="G21" s="225">
        <f>G17+G19</f>
        <v>0</v>
      </c>
      <c r="H21" s="271"/>
      <c r="O21" s="239"/>
      <c r="P21" s="240"/>
    </row>
    <row r="22" spans="1:16" ht="22.5" customHeight="1" x14ac:dyDescent="0.2">
      <c r="A22" s="133"/>
      <c r="B22" s="225"/>
      <c r="C22" s="225"/>
      <c r="D22" s="268" t="s">
        <v>211</v>
      </c>
      <c r="E22" s="268"/>
      <c r="F22" s="268"/>
      <c r="G22" s="269">
        <f>IF(G21=0,0,G23/G21)</f>
        <v>0</v>
      </c>
      <c r="H22" s="270"/>
      <c r="O22" s="238" t="s">
        <v>258</v>
      </c>
      <c r="P22" s="236" t="s">
        <v>169</v>
      </c>
    </row>
    <row r="23" spans="1:16" ht="22.5" customHeight="1" x14ac:dyDescent="0.2">
      <c r="A23" s="153" t="s">
        <v>263</v>
      </c>
      <c r="B23" s="225">
        <f>'Range Reference'!T23</f>
        <v>0</v>
      </c>
      <c r="C23" s="225"/>
      <c r="D23" s="265" t="s">
        <v>75</v>
      </c>
      <c r="E23" s="265"/>
      <c r="F23" s="265"/>
      <c r="G23" s="266">
        <f>(G18+G20)+(B23)</f>
        <v>0</v>
      </c>
      <c r="H23" s="267"/>
      <c r="O23" s="238"/>
      <c r="P23" s="236"/>
    </row>
    <row r="24" spans="1:16" ht="3" customHeight="1" x14ac:dyDescent="0.2"/>
    <row r="25" spans="1:16" ht="33.75" customHeight="1" x14ac:dyDescent="0.2">
      <c r="A25" s="123" t="s">
        <v>113</v>
      </c>
      <c r="B25" s="123" t="s">
        <v>0</v>
      </c>
      <c r="C25" s="123" t="s">
        <v>69</v>
      </c>
      <c r="D25" s="124" t="s">
        <v>76</v>
      </c>
      <c r="E25" s="124" t="s">
        <v>49</v>
      </c>
      <c r="F25" s="124" t="s">
        <v>50</v>
      </c>
      <c r="G25" s="124" t="s">
        <v>47</v>
      </c>
      <c r="H25" s="124" t="s">
        <v>48</v>
      </c>
      <c r="I25" s="41" t="s">
        <v>31</v>
      </c>
      <c r="J25" s="41" t="s">
        <v>55</v>
      </c>
      <c r="K25" s="41" t="s">
        <v>32</v>
      </c>
      <c r="L25" s="41" t="s">
        <v>156</v>
      </c>
      <c r="M25" s="41" t="s">
        <v>157</v>
      </c>
      <c r="O25" s="151">
        <f>IF(P20="Max",0,HLOOKUP(G19,'Range Reference'!$H$19:$H$23,5,FALSE))</f>
        <v>3000</v>
      </c>
      <c r="P25" s="152">
        <f>IF(OR(O25=0,B21=0.12),"Max",VLOOKUP(O25,'Range Reference'!H20:I22,2,FALSE))</f>
        <v>0.04</v>
      </c>
    </row>
    <row r="26" spans="1:16" x14ac:dyDescent="0.2">
      <c r="A26" s="42" t="str">
        <f>VLOOKUP($C26,'Article Reference'!$A$3:$C$42,2,FALSE)</f>
        <v>Insignia® SC Intrinsic® brand fungicide</v>
      </c>
      <c r="B26" s="43" t="str">
        <f>VLOOKUP($C26,'Article Reference'!$A$3:$C$42,3,FALSE)</f>
        <v>4 x 30.5 fl oz</v>
      </c>
      <c r="C26" s="84">
        <v>4059028038</v>
      </c>
      <c r="D26" s="44">
        <f>VLOOKUP($C26,'Article Reference'!$A$3:$D$19,4,FALSE)</f>
        <v>2426.6</v>
      </c>
      <c r="E26" s="100">
        <v>0</v>
      </c>
      <c r="F26" s="45">
        <f t="shared" ref="F26:F32" si="0">D26*E26</f>
        <v>0</v>
      </c>
      <c r="G26" s="100">
        <v>0</v>
      </c>
      <c r="H26" s="45">
        <f t="shared" ref="H26:H32" si="1">G26*D26</f>
        <v>0</v>
      </c>
      <c r="I26" s="46">
        <f>IF(ISNA(VLOOKUP($C26,'Coverage Reference'!$B$4:$H$21,4,FALSE))=TRUE,0,VLOOKUP($C26,'Coverage Reference'!$B$4:$H$21,4,FALSE)*(E26+G26))</f>
        <v>0</v>
      </c>
      <c r="J26" s="46">
        <f>IF(ISNA(VLOOKUP($C26,'Coverage Reference'!$B$4:$H$21,5,FALSE))=TRUE,0,VLOOKUP($C26,'Coverage Reference'!$B$4:$H$21,5,FALSE)*(E26+G26))</f>
        <v>0</v>
      </c>
      <c r="K26" s="46">
        <f>IF(ISNA(VLOOKUP($C26,'Coverage Reference'!$B$4:$H$21,6,FALSE))=TRUE,0,VLOOKUP($C26,'Coverage Reference'!$B$4:$H$21,6,FALSE)*(E26+G26))</f>
        <v>0</v>
      </c>
      <c r="L26" s="98">
        <v>2</v>
      </c>
      <c r="M26" s="98">
        <v>0.25</v>
      </c>
      <c r="O26" s="226"/>
      <c r="P26" s="227"/>
    </row>
    <row r="27" spans="1:16" x14ac:dyDescent="0.2">
      <c r="A27" s="42" t="str">
        <f>VLOOKUP($C27,'Article Reference'!$A$3:$C$42,2,FALSE)</f>
        <v>Insignia® SC Intrinsic® brand fungicide</v>
      </c>
      <c r="B27" s="43" t="str">
        <f>VLOOKUP($C27,'Article Reference'!$A$3:$C$42,3,FALSE)</f>
        <v>2 x 2.5 gal</v>
      </c>
      <c r="C27" s="84">
        <v>4059028040</v>
      </c>
      <c r="D27" s="44">
        <f>VLOOKUP($C27,'Article Reference'!$A$3:$D$19,4,FALSE)</f>
        <v>7894.8</v>
      </c>
      <c r="E27" s="100">
        <v>0</v>
      </c>
      <c r="F27" s="45">
        <f t="shared" si="0"/>
        <v>0</v>
      </c>
      <c r="G27" s="100">
        <v>0</v>
      </c>
      <c r="H27" s="45">
        <f t="shared" si="1"/>
        <v>0</v>
      </c>
      <c r="I27" s="46">
        <f>IF(ISNA(VLOOKUP($C27,'Coverage Reference'!$B$4:$H$21,4,FALSE))=TRUE,0,VLOOKUP($C27,'Coverage Reference'!$B$4:$H$21,4,FALSE)*(E27+G27))</f>
        <v>0</v>
      </c>
      <c r="J27" s="46">
        <f>IF(ISNA(VLOOKUP($C27,'Coverage Reference'!$B$4:$H$21,5,FALSE))=TRUE,0,VLOOKUP($C27,'Coverage Reference'!$B$4:$H$21,5,FALSE)*(E27+G27))</f>
        <v>0</v>
      </c>
      <c r="K27" s="46">
        <f>IF(ISNA(VLOOKUP($C27,'Coverage Reference'!$B$4:$H$21,6,FALSE))=TRUE,0,VLOOKUP($C27,'Coverage Reference'!$B$4:$H$21,6,FALSE)*(E27+G27))</f>
        <v>0</v>
      </c>
      <c r="L27" s="98">
        <v>2</v>
      </c>
      <c r="M27" s="98">
        <v>0.5</v>
      </c>
      <c r="O27" s="226"/>
      <c r="P27" s="227"/>
    </row>
    <row r="28" spans="1:16" ht="12.75" customHeight="1" x14ac:dyDescent="0.2">
      <c r="A28" s="42" t="str">
        <f>VLOOKUP($C28,'Article Reference'!$A$3:$C$42,2,FALSE)</f>
        <v>Lexicon® Intrinsic® brand fungicide</v>
      </c>
      <c r="B28" s="43" t="str">
        <f>VLOOKUP($C28,'Article Reference'!$A$3:$C$42,3,FALSE)</f>
        <v>4 x 21 oz</v>
      </c>
      <c r="C28" s="84">
        <v>4059027998</v>
      </c>
      <c r="D28" s="44">
        <f>VLOOKUP($C28,'Article Reference'!$A$3:$D$19,4,FALSE)</f>
        <v>2635.08</v>
      </c>
      <c r="E28" s="100">
        <v>0</v>
      </c>
      <c r="F28" s="45">
        <f t="shared" si="0"/>
        <v>0</v>
      </c>
      <c r="G28" s="100">
        <v>0</v>
      </c>
      <c r="H28" s="45">
        <f t="shared" si="1"/>
        <v>0</v>
      </c>
      <c r="I28" s="46">
        <f>IF(ISNA(VLOOKUP($C28,'Coverage Reference'!$B$4:$H$21,4,FALSE))=TRUE,0,VLOOKUP($C28,'Coverage Reference'!$B$4:$H$21,4,FALSE)*(E28+G28))</f>
        <v>0</v>
      </c>
      <c r="J28" s="46">
        <f>IF(ISNA(VLOOKUP($C28,'Coverage Reference'!$B$4:$H$21,5,FALSE))=TRUE,0,VLOOKUP($C28,'Coverage Reference'!$B$4:$H$21,5,FALSE)*(E28+G28))</f>
        <v>0</v>
      </c>
      <c r="K28" s="46">
        <f>IF(ISNA(VLOOKUP($C28,'Coverage Reference'!$B$4:$H$21,6,FALSE))=TRUE,0,VLOOKUP($C28,'Coverage Reference'!$B$4:$H$21,6,FALSE)*(E28+G28))</f>
        <v>0</v>
      </c>
      <c r="L28" s="98">
        <v>2</v>
      </c>
      <c r="M28" s="98">
        <v>0.25</v>
      </c>
      <c r="O28" s="214"/>
      <c r="P28" s="215"/>
    </row>
    <row r="29" spans="1:16" x14ac:dyDescent="0.2">
      <c r="A29" s="42" t="str">
        <f>VLOOKUP($C29,'Article Reference'!$A$3:$C$42,2,FALSE)</f>
        <v>Pillar® SC Intrinsic brand fungicide</v>
      </c>
      <c r="B29" s="43" t="str">
        <f>VLOOKUP($C29,'Article Reference'!$A$3:$C$42,3,FALSE)</f>
        <v>4 x 435 fl oz</v>
      </c>
      <c r="C29" s="84">
        <v>4059026395</v>
      </c>
      <c r="D29" s="44">
        <f>VLOOKUP($C29,'Article Reference'!$A$3:$D$19,4,FALSE)</f>
        <v>959.16</v>
      </c>
      <c r="E29" s="100">
        <v>0</v>
      </c>
      <c r="F29" s="45">
        <f t="shared" si="0"/>
        <v>0</v>
      </c>
      <c r="G29" s="100">
        <v>0</v>
      </c>
      <c r="H29" s="45">
        <f t="shared" si="1"/>
        <v>0</v>
      </c>
      <c r="I29" s="46"/>
      <c r="J29" s="46"/>
      <c r="K29" s="46"/>
      <c r="L29" s="98"/>
      <c r="M29" s="98"/>
      <c r="O29" s="216"/>
      <c r="P29" s="217"/>
    </row>
    <row r="30" spans="1:16" x14ac:dyDescent="0.2">
      <c r="A30" s="42" t="str">
        <f>VLOOKUP($C30,'Article Reference'!$A$3:$C$42,2,FALSE)</f>
        <v>Pillar® SC Intrinsic brand fungicide</v>
      </c>
      <c r="B30" s="43" t="str">
        <f>VLOOKUP($C30,'Article Reference'!$A$3:$C$42,3,FALSE)</f>
        <v>2 x 128 fl oz</v>
      </c>
      <c r="C30" s="84">
        <v>4059032585</v>
      </c>
      <c r="D30" s="44">
        <f>VLOOKUP($C30,'Article Reference'!$A$3:$D$19,4,FALSE)</f>
        <v>1270.4000000000001</v>
      </c>
      <c r="E30" s="100">
        <v>0</v>
      </c>
      <c r="F30" s="45">
        <f t="shared" si="0"/>
        <v>0</v>
      </c>
      <c r="G30" s="100">
        <v>0</v>
      </c>
      <c r="H30" s="45">
        <f t="shared" si="1"/>
        <v>0</v>
      </c>
      <c r="I30" s="46"/>
      <c r="J30" s="46"/>
      <c r="K30" s="46"/>
      <c r="L30" s="98"/>
      <c r="M30" s="98"/>
      <c r="O30" s="216"/>
      <c r="P30" s="217"/>
    </row>
    <row r="31" spans="1:16" x14ac:dyDescent="0.2">
      <c r="A31" s="42" t="str">
        <f>VLOOKUP($C31,'Article Reference'!$A$3:$C$42,2,FALSE)</f>
        <v>Xzemplar® fungicide</v>
      </c>
      <c r="B31" s="43" t="str">
        <f>VLOOKUP($C31,'Article Reference'!$A$3:$C$42,3,FALSE)</f>
        <v>4 x 11.4 oz</v>
      </c>
      <c r="C31" s="84">
        <v>4059014120</v>
      </c>
      <c r="D31" s="44">
        <f>VLOOKUP($C31,'Article Reference'!$A$3:$D$19,4,FALSE)</f>
        <v>904.24</v>
      </c>
      <c r="E31" s="100">
        <v>0</v>
      </c>
      <c r="F31" s="45">
        <f t="shared" si="0"/>
        <v>0</v>
      </c>
      <c r="G31" s="100">
        <v>0</v>
      </c>
      <c r="H31" s="45">
        <f t="shared" si="1"/>
        <v>0</v>
      </c>
      <c r="I31" s="46">
        <f>IF(ISNA(VLOOKUP($C31,'Coverage Reference'!$B$4:$H$21,4,FALSE))=TRUE,0,VLOOKUP($C31,'Coverage Reference'!$B$4:$H$21,4,FALSE)*(E31+G31))</f>
        <v>0</v>
      </c>
      <c r="J31" s="46">
        <f>IF(ISNA(VLOOKUP($C31,'Coverage Reference'!$B$4:$H$21,5,FALSE))=TRUE,0,VLOOKUP($C31,'Coverage Reference'!$B$4:$H$21,5,FALSE)*(E31+G31))</f>
        <v>0</v>
      </c>
      <c r="K31" s="46">
        <f>IF(ISNA(VLOOKUP($C31,'Coverage Reference'!$B$4:$H$21,6,FALSE))=TRUE,0,VLOOKUP($C31,'Coverage Reference'!$B$4:$H$21,6,FALSE)*(E31+G31))</f>
        <v>0</v>
      </c>
      <c r="L31" s="98">
        <v>2</v>
      </c>
      <c r="M31" s="98">
        <v>0.5</v>
      </c>
      <c r="O31" s="231"/>
      <c r="P31" s="248"/>
    </row>
    <row r="32" spans="1:16" x14ac:dyDescent="0.2">
      <c r="A32" s="42" t="str">
        <f>VLOOKUP($C32,'Article Reference'!$A$3:$C$42,2,FALSE)</f>
        <v>Xzemplar® fungicide</v>
      </c>
      <c r="B32" s="43" t="str">
        <f>VLOOKUP($C32,'Article Reference'!$A$3:$C$42,3,FALSE)</f>
        <v>2 x 114 oz</v>
      </c>
      <c r="C32" s="84">
        <v>4059013833</v>
      </c>
      <c r="D32" s="44">
        <f>VLOOKUP($C32,'Article Reference'!$A$3:$D$19,4,FALSE)</f>
        <v>3775.68</v>
      </c>
      <c r="E32" s="100">
        <v>0</v>
      </c>
      <c r="F32" s="45">
        <f t="shared" si="0"/>
        <v>0</v>
      </c>
      <c r="G32" s="100">
        <v>0</v>
      </c>
      <c r="H32" s="45">
        <f t="shared" si="1"/>
        <v>0</v>
      </c>
      <c r="I32" s="46">
        <f>IF(ISNA(VLOOKUP($C32,'Coverage Reference'!$B$4:$H$21,4,FALSE))=TRUE,0,VLOOKUP($C32,'Coverage Reference'!$B$4:$H$21,4,FALSE)*(E32+G32))</f>
        <v>0</v>
      </c>
      <c r="J32" s="46">
        <f>IF(ISNA(VLOOKUP($C32,'Coverage Reference'!$B$4:$H$21,5,FALSE))=TRUE,0,VLOOKUP($C32,'Coverage Reference'!$B$4:$H$21,5,FALSE)*(E32+G32))</f>
        <v>0</v>
      </c>
      <c r="K32" s="46">
        <f>IF(ISNA(VLOOKUP($C32,'Coverage Reference'!$B$4:$H$21,6,FALSE))=TRUE,0,VLOOKUP($C32,'Coverage Reference'!$B$4:$H$21,6,FALSE)*(E32+G32))</f>
        <v>0</v>
      </c>
      <c r="L32" s="98">
        <v>2</v>
      </c>
      <c r="M32" s="98">
        <v>0.25</v>
      </c>
      <c r="O32" s="232"/>
      <c r="P32" s="248"/>
    </row>
    <row r="33" spans="1:12" x14ac:dyDescent="0.2">
      <c r="A33" s="274" t="s">
        <v>118</v>
      </c>
      <c r="B33" s="274"/>
      <c r="C33" s="274"/>
      <c r="D33" s="274"/>
      <c r="E33" s="94"/>
      <c r="F33" s="95">
        <f>SUM(F26:F32)</f>
        <v>0</v>
      </c>
      <c r="G33" s="96"/>
      <c r="H33" s="95">
        <f>SUM(H26:H32)</f>
        <v>0</v>
      </c>
      <c r="I33" s="272">
        <f>H33+F33</f>
        <v>0</v>
      </c>
      <c r="J33" s="272"/>
      <c r="K33" s="272"/>
    </row>
    <row r="34" spans="1:12" ht="25.5" x14ac:dyDescent="0.2">
      <c r="A34" s="125" t="s">
        <v>112</v>
      </c>
      <c r="B34" s="125" t="s">
        <v>0</v>
      </c>
      <c r="C34" s="125" t="s">
        <v>1</v>
      </c>
      <c r="D34" s="126" t="s">
        <v>76</v>
      </c>
      <c r="E34" s="126" t="s">
        <v>111</v>
      </c>
      <c r="F34" s="126" t="s">
        <v>110</v>
      </c>
      <c r="G34" s="241"/>
      <c r="H34" s="242"/>
      <c r="I34" s="48" t="s">
        <v>31</v>
      </c>
      <c r="J34" s="48" t="s">
        <v>55</v>
      </c>
      <c r="K34" s="48" t="s">
        <v>32</v>
      </c>
    </row>
    <row r="35" spans="1:12" x14ac:dyDescent="0.2">
      <c r="A35" s="228" t="s">
        <v>179</v>
      </c>
      <c r="B35" s="229"/>
      <c r="C35" s="229"/>
      <c r="D35" s="230"/>
      <c r="E35" s="263"/>
      <c r="F35" s="264"/>
      <c r="G35" s="243"/>
      <c r="H35" s="244"/>
      <c r="I35" s="48"/>
      <c r="J35" s="48"/>
      <c r="K35" s="48"/>
    </row>
    <row r="36" spans="1:12" x14ac:dyDescent="0.2">
      <c r="A36" s="42" t="str">
        <f>VLOOKUP($C36,'Article Reference'!$A$5:$D$55,2,FALSE)</f>
        <v>Amdro Pro Fire Ant Bait</v>
      </c>
      <c r="B36" s="43" t="str">
        <f>VLOOKUP($C36,'Article Reference'!$A$5:$D$55,3,FALSE)</f>
        <v>1 x 25lbs</v>
      </c>
      <c r="C36" s="84">
        <v>4059021451</v>
      </c>
      <c r="D36" s="44">
        <f>VLOOKUP($C36,'Article Reference'!$A$5:$D$55,4,FALSE)</f>
        <v>669.38</v>
      </c>
      <c r="E36" s="100">
        <v>0</v>
      </c>
      <c r="F36" s="45">
        <f>E36*D36</f>
        <v>0</v>
      </c>
      <c r="G36" s="243"/>
      <c r="H36" s="244"/>
      <c r="I36" s="46">
        <f>IF(ISNA(VLOOKUP($C36,'Coverage Reference'!$B$6:$H$21,4,FALSE))=TRUE,0,VLOOKUP($C36,'Coverage Reference'!$B$6:$H$21,4,FALSE)*(E36+G36))</f>
        <v>0</v>
      </c>
      <c r="J36" s="46">
        <f>IF(ISNA(VLOOKUP($C36,'Coverage Reference'!$B$6:$H$21,5,FALSE))=TRUE,0,VLOOKUP($C36,'Coverage Reference'!$B$6:$H$21,5,FALSE)*(E36+G36))</f>
        <v>0</v>
      </c>
      <c r="K36" s="46">
        <f>IF(ISNA(VLOOKUP($C36,'Coverage Reference'!$B$6:$H$21,6,FALSE))=TRUE,0,VLOOKUP($C36,'Coverage Reference'!$B$6:$H$21,6,FALSE)*(E36+G36))</f>
        <v>0</v>
      </c>
      <c r="L36" s="99"/>
    </row>
    <row r="37" spans="1:12" x14ac:dyDescent="0.2">
      <c r="A37" s="42" t="str">
        <f>VLOOKUP($C37,'Article Reference'!$A$5:$D$55,2,FALSE)</f>
        <v>Siesta® Fire Ant Bait</v>
      </c>
      <c r="B37" s="43" t="str">
        <f>VLOOKUP($C37,'Article Reference'!$A$5:$D$55,3,FALSE)</f>
        <v>15 lbs</v>
      </c>
      <c r="C37" s="84">
        <v>4059011057</v>
      </c>
      <c r="D37" s="44">
        <f>VLOOKUP($C37,'Article Reference'!$A$5:$D$55,4,FALSE)</f>
        <v>334.69</v>
      </c>
      <c r="E37" s="100">
        <v>0</v>
      </c>
      <c r="F37" s="45">
        <f>E37*D37</f>
        <v>0</v>
      </c>
      <c r="G37" s="243"/>
      <c r="H37" s="244"/>
      <c r="I37" s="46">
        <f>IF(ISNA(VLOOKUP($C37,'Coverage Reference'!$B$6:$H$21,4,FALSE))=TRUE,0,VLOOKUP($C37,'Coverage Reference'!$B$6:$H$21,4,FALSE)*(E37+G37))</f>
        <v>0</v>
      </c>
      <c r="J37" s="46">
        <f>IF(ISNA(VLOOKUP($C37,'Coverage Reference'!$B$6:$H$21,5,FALSE))=TRUE,0,VLOOKUP($C37,'Coverage Reference'!$B$6:$H$21,5,FALSE)*(E37+G37))</f>
        <v>0</v>
      </c>
      <c r="K37" s="46">
        <f>IF(ISNA(VLOOKUP($C37,'Coverage Reference'!$B$6:$H$21,6,FALSE))=TRUE,0,VLOOKUP($C37,'Coverage Reference'!$B$6:$H$21,6,FALSE)*(E37+G37))</f>
        <v>0</v>
      </c>
      <c r="L37" s="99"/>
    </row>
    <row r="38" spans="1:12" x14ac:dyDescent="0.2">
      <c r="A38" s="42" t="str">
        <f>VLOOKUP($C38,'Article Reference'!$A$5:$D$55,2,FALSE)</f>
        <v>Sultan® miticide</v>
      </c>
      <c r="B38" s="43" t="str">
        <f>VLOOKUP($C38,'Article Reference'!$A$5:$D$55,3,FALSE)</f>
        <v>4 x 0.125 gal</v>
      </c>
      <c r="C38" s="84">
        <v>4059023753</v>
      </c>
      <c r="D38" s="44">
        <f>VLOOKUP($C38,'Article Reference'!$A$5:$D$55,4,FALSE)</f>
        <v>775.2</v>
      </c>
      <c r="E38" s="100">
        <v>0</v>
      </c>
      <c r="F38" s="45">
        <f>E38*D38</f>
        <v>0</v>
      </c>
      <c r="G38" s="243"/>
      <c r="H38" s="244"/>
      <c r="I38" s="46">
        <f>IF(ISNA(VLOOKUP($C38,'Coverage Reference'!$B$6:$H$21,4,FALSE))=TRUE,0,VLOOKUP($C38,'Coverage Reference'!$B$6:$H$21,4,FALSE)*(E38+G38))</f>
        <v>0</v>
      </c>
      <c r="J38" s="46">
        <f>IF(ISNA(VLOOKUP($C38,'Coverage Reference'!$B$6:$H$21,5,FALSE))=TRUE,0,VLOOKUP($C38,'Coverage Reference'!$B$6:$H$21,5,FALSE)*(E38+G38))</f>
        <v>0</v>
      </c>
      <c r="K38" s="46">
        <f>IF(ISNA(VLOOKUP($C38,'Coverage Reference'!$B$6:$H$21,6,FALSE))=TRUE,0,VLOOKUP($C38,'Coverage Reference'!$B$6:$H$21,6,FALSE)*(E38+G38))</f>
        <v>0</v>
      </c>
      <c r="L38" s="99"/>
    </row>
    <row r="39" spans="1:12" x14ac:dyDescent="0.2">
      <c r="A39" s="42" t="str">
        <f>VLOOKUP($C39,'Article Reference'!$A$5:$D$55,2,FALSE)</f>
        <v>Ventigra® insecticide</v>
      </c>
      <c r="B39" s="43" t="str">
        <f>VLOOKUP($C39,'Article Reference'!$A$5:$D$55,3,FALSE)</f>
        <v>4 x 20 oz</v>
      </c>
      <c r="C39" s="84">
        <v>4059014680</v>
      </c>
      <c r="D39" s="44">
        <f>VLOOKUP($C39,'Article Reference'!$A$5:$D$55,4,FALSE)</f>
        <v>1442.4</v>
      </c>
      <c r="E39" s="100">
        <v>0</v>
      </c>
      <c r="F39" s="45">
        <f>E39*D39</f>
        <v>0</v>
      </c>
      <c r="G39" s="243"/>
      <c r="H39" s="244"/>
      <c r="I39" s="46">
        <f>IF(ISNA(VLOOKUP($C39,'Coverage Reference'!$B$6:$H$21,4,FALSE))=TRUE,0,VLOOKUP($C39,'Coverage Reference'!$B$6:$H$21,4,FALSE)*(E39+G39))</f>
        <v>0</v>
      </c>
      <c r="J39" s="46">
        <f>IF(ISNA(VLOOKUP($C39,'Coverage Reference'!$B$6:$H$21,5,FALSE))=TRUE,0,VLOOKUP($C39,'Coverage Reference'!$B$6:$H$21,5,FALSE)*(E39+G39))</f>
        <v>0</v>
      </c>
      <c r="K39" s="46">
        <f>IF(ISNA(VLOOKUP($C39,'Coverage Reference'!$B$6:$H$21,6,FALSE))=TRUE,0,VLOOKUP($C39,'Coverage Reference'!$B$6:$H$21,6,FALSE)*(E39+G39))</f>
        <v>0</v>
      </c>
      <c r="L39" s="99"/>
    </row>
    <row r="40" spans="1:12" x14ac:dyDescent="0.2">
      <c r="A40" s="228" t="s">
        <v>180</v>
      </c>
      <c r="B40" s="229"/>
      <c r="C40" s="229"/>
      <c r="D40" s="230"/>
      <c r="E40" s="263"/>
      <c r="F40" s="264"/>
      <c r="G40" s="243"/>
      <c r="H40" s="244"/>
      <c r="I40" s="46"/>
      <c r="J40" s="46"/>
      <c r="K40" s="46"/>
      <c r="L40" s="99"/>
    </row>
    <row r="41" spans="1:12" x14ac:dyDescent="0.2">
      <c r="A41" s="42" t="str">
        <f>VLOOKUP($C41,'Article Reference'!$A$5:$D$55,2,FALSE)</f>
        <v>Orkestra® Intrinsic® brand Fungicide</v>
      </c>
      <c r="B41" s="43" t="str">
        <f>VLOOKUP($C41,'Article Reference'!$A$5:$D$55,3,FALSE)</f>
        <v>4 x 16 oz</v>
      </c>
      <c r="C41" s="84">
        <v>4059014379</v>
      </c>
      <c r="D41" s="44">
        <f>VLOOKUP($C41,'Article Reference'!$A$5:$D$55,4,FALSE)</f>
        <v>684.8</v>
      </c>
      <c r="E41" s="100">
        <v>0</v>
      </c>
      <c r="F41" s="45">
        <f>E41*D41</f>
        <v>0</v>
      </c>
      <c r="G41" s="243"/>
      <c r="H41" s="244"/>
      <c r="I41" s="46">
        <f>IF(ISNA(VLOOKUP($C41,'Coverage Reference'!$B$6:$H$21,4,FALSE))=TRUE,0,VLOOKUP($C41,'Coverage Reference'!$B$6:$H$21,4,FALSE)*(E41+G41))</f>
        <v>0</v>
      </c>
      <c r="J41" s="46">
        <f>IF(ISNA(VLOOKUP($C41,'Coverage Reference'!$B$6:$H$21,5,FALSE))=TRUE,0,VLOOKUP($C41,'Coverage Reference'!$B$6:$H$21,5,FALSE)*(E41+G41))</f>
        <v>0</v>
      </c>
      <c r="K41" s="46">
        <f>IF(ISNA(VLOOKUP($C41,'Coverage Reference'!$B$6:$H$21,6,FALSE))=TRUE,0,VLOOKUP($C41,'Coverage Reference'!$B$6:$H$21,6,FALSE)*(E41+G41))</f>
        <v>0</v>
      </c>
      <c r="L41" s="99"/>
    </row>
    <row r="42" spans="1:12" x14ac:dyDescent="0.2">
      <c r="A42" s="42" t="str">
        <f>VLOOKUP($C42,'Article Reference'!$A$5:$D$55,2,FALSE)</f>
        <v>Pageant® Intrinsic® brand Fungicide</v>
      </c>
      <c r="B42" s="43" t="str">
        <f>VLOOKUP($C42,'Article Reference'!$A$5:$D$55,3,FALSE)</f>
        <v>4 x 1 lb</v>
      </c>
      <c r="C42" s="84">
        <v>4059012349</v>
      </c>
      <c r="D42" s="44">
        <f>VLOOKUP($C42,'Article Reference'!$A$5:$D$55,4,FALSE)</f>
        <v>483.28</v>
      </c>
      <c r="E42" s="100">
        <v>0</v>
      </c>
      <c r="F42" s="45">
        <f>E42*D42</f>
        <v>0</v>
      </c>
      <c r="G42" s="243"/>
      <c r="H42" s="244"/>
      <c r="I42" s="46">
        <f>IF(ISNA(VLOOKUP($C42,'Coverage Reference'!$B$6:$H$21,4,FALSE))=TRUE,0,VLOOKUP($C42,'Coverage Reference'!$B$6:$H$21,4,FALSE)*(E42+G42))</f>
        <v>0</v>
      </c>
      <c r="J42" s="46">
        <f>IF(ISNA(VLOOKUP($C42,'Coverage Reference'!$B$6:$H$21,5,FALSE))=TRUE,0,VLOOKUP($C42,'Coverage Reference'!$B$6:$H$21,5,FALSE)*(E42+G42))</f>
        <v>0</v>
      </c>
      <c r="K42" s="46">
        <f>IF(ISNA(VLOOKUP($C42,'Coverage Reference'!$B$6:$H$21,6,FALSE))=TRUE,0,VLOOKUP($C42,'Coverage Reference'!$B$6:$H$21,6,FALSE)*(E42+G42))</f>
        <v>0</v>
      </c>
      <c r="L42" s="99"/>
    </row>
    <row r="43" spans="1:12" x14ac:dyDescent="0.2">
      <c r="A43" s="42" t="str">
        <f>VLOOKUP($C43,'Article Reference'!$A$5:$D$55,2,FALSE)</f>
        <v>Pillar® G Intrinsic® brand fungicide</v>
      </c>
      <c r="B43" s="43" t="str">
        <f>VLOOKUP($C43,'Article Reference'!$A$5:$D$55,3,FALSE)</f>
        <v>15 lbs bag</v>
      </c>
      <c r="C43" s="84">
        <v>4059017959</v>
      </c>
      <c r="D43" s="44">
        <f>VLOOKUP($C43,'Article Reference'!$A$5:$D$55,4,FALSE)</f>
        <v>63.94</v>
      </c>
      <c r="E43" s="100">
        <v>0</v>
      </c>
      <c r="F43" s="45">
        <f>E43*D43</f>
        <v>0</v>
      </c>
      <c r="G43" s="243"/>
      <c r="H43" s="244"/>
      <c r="I43" s="46">
        <f>IF(ISNA(VLOOKUP($C43,'Coverage Reference'!$B$6:$H$21,4,FALSE))=TRUE,0,VLOOKUP($C43,'Coverage Reference'!$B$6:$H$21,4,FALSE)*(E43+G43))</f>
        <v>0</v>
      </c>
      <c r="J43" s="46">
        <f>IF(ISNA(VLOOKUP($C43,'Coverage Reference'!$B$6:$H$21,5,FALSE))=TRUE,0,VLOOKUP($C43,'Coverage Reference'!$B$6:$H$21,5,FALSE)*(E43+G43))</f>
        <v>0</v>
      </c>
      <c r="K43" s="46">
        <f>IF(ISNA(VLOOKUP($C43,'Coverage Reference'!$B$6:$H$21,6,FALSE))=TRUE,0,VLOOKUP($C43,'Coverage Reference'!$B$6:$H$21,6,FALSE)*(E43+G43))</f>
        <v>0</v>
      </c>
      <c r="L43" s="99"/>
    </row>
    <row r="44" spans="1:12" x14ac:dyDescent="0.2">
      <c r="A44" s="42" t="str">
        <f>VLOOKUP($C44,'Article Reference'!$A$5:$D$55,2,FALSE)</f>
        <v>Pillar® G Intrinsic® brand fungicide</v>
      </c>
      <c r="B44" s="43" t="str">
        <f>VLOOKUP($C44,'Article Reference'!$A$5:$D$55,3,FALSE)</f>
        <v>30 lbs bag</v>
      </c>
      <c r="C44" s="84">
        <v>4059012784</v>
      </c>
      <c r="D44" s="44">
        <f>VLOOKUP($C44,'Article Reference'!$A$5:$D$55,4,FALSE)</f>
        <v>118.5</v>
      </c>
      <c r="E44" s="100">
        <v>0</v>
      </c>
      <c r="F44" s="45">
        <f>E44*D44</f>
        <v>0</v>
      </c>
      <c r="G44" s="243"/>
      <c r="H44" s="244"/>
      <c r="I44" s="46">
        <f>IF(ISNA(VLOOKUP($C44,'Coverage Reference'!$B$6:$H$21,4,FALSE))=TRUE,0,VLOOKUP($C44,'Coverage Reference'!$B$6:$H$21,4,FALSE)*(E44+G44))</f>
        <v>0</v>
      </c>
      <c r="J44" s="46">
        <f>IF(ISNA(VLOOKUP($C44,'Coverage Reference'!$B$6:$H$21,5,FALSE))=TRUE,0,VLOOKUP($C44,'Coverage Reference'!$B$6:$H$21,5,FALSE)*(E44+G44))</f>
        <v>0</v>
      </c>
      <c r="K44" s="46">
        <f>IF(ISNA(VLOOKUP($C44,'Coverage Reference'!$B$6:$H$21,6,FALSE))=TRUE,0,VLOOKUP($C44,'Coverage Reference'!$B$6:$H$21,6,FALSE)*(E44+G44))</f>
        <v>0</v>
      </c>
      <c r="L44" s="99"/>
    </row>
    <row r="45" spans="1:12" x14ac:dyDescent="0.2">
      <c r="A45" s="228" t="s">
        <v>181</v>
      </c>
      <c r="B45" s="229"/>
      <c r="C45" s="229"/>
      <c r="D45" s="230"/>
      <c r="E45" s="263"/>
      <c r="F45" s="264"/>
      <c r="G45" s="243"/>
      <c r="H45" s="244"/>
      <c r="I45" s="46"/>
      <c r="J45" s="46"/>
      <c r="K45" s="46"/>
      <c r="L45" s="99"/>
    </row>
    <row r="46" spans="1:12" x14ac:dyDescent="0.2">
      <c r="A46" s="42" t="str">
        <f>VLOOKUP($C46,'Article Reference'!$A$5:$D$55,2,FALSE)</f>
        <v>Drive® XLR8 herbicide</v>
      </c>
      <c r="B46" s="43" t="str">
        <f>VLOOKUP($C46,'Article Reference'!$A$5:$D$55,3,FALSE)</f>
        <v>4 x 0.5 gal</v>
      </c>
      <c r="C46" s="84">
        <v>4059030455</v>
      </c>
      <c r="D46" s="44">
        <f>VLOOKUP($C46,'Article Reference'!$A$5:$D$55,4,FALSE)</f>
        <v>232.72</v>
      </c>
      <c r="E46" s="100">
        <v>0</v>
      </c>
      <c r="F46" s="45">
        <f t="shared" ref="F46:F53" si="2">E46*D46</f>
        <v>0</v>
      </c>
      <c r="G46" s="243"/>
      <c r="H46" s="244"/>
      <c r="I46" s="46">
        <f>IF(ISNA(VLOOKUP($C46,'Coverage Reference'!$B$6:$H$21,4,FALSE))=TRUE,0,VLOOKUP($C46,'Coverage Reference'!$B$6:$H$21,4,FALSE)*(E46+G46))</f>
        <v>0</v>
      </c>
      <c r="J46" s="46">
        <f>IF(ISNA(VLOOKUP($C46,'Coverage Reference'!$B$6:$H$21,5,FALSE))=TRUE,0,VLOOKUP($C46,'Coverage Reference'!$B$6:$H$21,5,FALSE)*(E46+G46))</f>
        <v>0</v>
      </c>
      <c r="K46" s="46">
        <f>IF(ISNA(VLOOKUP($C46,'Coverage Reference'!$B$6:$H$21,6,FALSE))=TRUE,0,VLOOKUP($C46,'Coverage Reference'!$B$6:$H$21,6,FALSE)*(E46+G46))</f>
        <v>0</v>
      </c>
      <c r="L46" s="99"/>
    </row>
    <row r="47" spans="1:12" x14ac:dyDescent="0.2">
      <c r="A47" s="42" t="str">
        <f>VLOOKUP($C47,'Article Reference'!$A$5:$D$55,2,FALSE)</f>
        <v>Drive® XLR8 herbicide</v>
      </c>
      <c r="B47" s="43" t="str">
        <f>VLOOKUP($C47,'Article Reference'!$A$5:$D$55,3,FALSE)</f>
        <v>2 x 2.5 gal</v>
      </c>
      <c r="C47" s="84">
        <v>4059030454</v>
      </c>
      <c r="D47" s="44">
        <f>VLOOKUP($C47,'Article Reference'!$A$5:$D$55,4,FALSE)</f>
        <v>540.32000000000005</v>
      </c>
      <c r="E47" s="100">
        <v>0</v>
      </c>
      <c r="F47" s="45">
        <f t="shared" si="2"/>
        <v>0</v>
      </c>
      <c r="G47" s="243"/>
      <c r="H47" s="244"/>
      <c r="I47" s="46"/>
      <c r="J47" s="46"/>
      <c r="K47" s="46"/>
      <c r="L47" s="99"/>
    </row>
    <row r="48" spans="1:12" x14ac:dyDescent="0.2">
      <c r="A48" s="42" t="str">
        <f>VLOOKUP($C48,'Article Reference'!$A$5:$D$55,2,FALSE)</f>
        <v>Pendulum® 2G herbicide</v>
      </c>
      <c r="B48" s="43" t="str">
        <f>VLOOKUP($C48,'Article Reference'!$A$5:$D$55,3,FALSE)</f>
        <v>20 lbs bag</v>
      </c>
      <c r="C48" s="84">
        <v>4059017972</v>
      </c>
      <c r="D48" s="44">
        <f>VLOOKUP($C48,'Article Reference'!$A$5:$D$55,4,FALSE)</f>
        <v>54.25</v>
      </c>
      <c r="E48" s="100">
        <v>0</v>
      </c>
      <c r="F48" s="45">
        <f t="shared" si="2"/>
        <v>0</v>
      </c>
      <c r="G48" s="243"/>
      <c r="H48" s="244"/>
      <c r="I48" s="46">
        <f>IF(ISNA(VLOOKUP($C48,'Coverage Reference'!$B$6:$H$21,4,FALSE))=TRUE,0,VLOOKUP($C48,'Coverage Reference'!$B$6:$H$21,4,FALSE)*(E48+G48))</f>
        <v>0</v>
      </c>
      <c r="J48" s="46">
        <f>IF(ISNA(VLOOKUP($C48,'Coverage Reference'!$B$6:$H$21,5,FALSE))=TRUE,0,VLOOKUP($C48,'Coverage Reference'!$B$6:$H$21,5,FALSE)*(E48+G48))</f>
        <v>0</v>
      </c>
      <c r="K48" s="46">
        <f>IF(ISNA(VLOOKUP($C48,'Coverage Reference'!$B$6:$H$21,6,FALSE))=TRUE,0,VLOOKUP($C48,'Coverage Reference'!$B$6:$H$21,6,FALSE)*(E48+G48))</f>
        <v>0</v>
      </c>
      <c r="L48" s="99"/>
    </row>
    <row r="49" spans="1:16" ht="13.5" thickBot="1" x14ac:dyDescent="0.25">
      <c r="A49" s="42" t="str">
        <f>VLOOKUP($C49,'Article Reference'!$A$5:$D$55,2,FALSE)</f>
        <v>Pendulum® 2G herbicide</v>
      </c>
      <c r="B49" s="43" t="str">
        <f>VLOOKUP($C49,'Article Reference'!$A$5:$D$55,3,FALSE)</f>
        <v>40 lbs bag</v>
      </c>
      <c r="C49" s="84">
        <v>4059015072</v>
      </c>
      <c r="D49" s="44">
        <f>VLOOKUP($C49,'Article Reference'!$A$5:$D$55,4,FALSE)</f>
        <v>95.5</v>
      </c>
      <c r="E49" s="100">
        <v>0</v>
      </c>
      <c r="F49" s="45">
        <f t="shared" si="2"/>
        <v>0</v>
      </c>
      <c r="G49" s="243"/>
      <c r="H49" s="244"/>
      <c r="I49" s="46">
        <f>IF(ISNA(VLOOKUP($C49,'Coverage Reference'!$B$6:$H$21,4,FALSE))=TRUE,0,VLOOKUP($C49,'Coverage Reference'!$B$6:$H$21,4,FALSE)*(E49+G49))</f>
        <v>0</v>
      </c>
      <c r="J49" s="46">
        <f>IF(ISNA(VLOOKUP($C49,'Coverage Reference'!$B$6:$H$21,5,FALSE))=TRUE,0,VLOOKUP($C49,'Coverage Reference'!$B$6:$H$21,5,FALSE)*(E49+G49))</f>
        <v>0</v>
      </c>
      <c r="K49" s="46">
        <f>IF(ISNA(VLOOKUP($C49,'Coverage Reference'!$B$6:$H$21,6,FALSE))=TRUE,0,VLOOKUP($C49,'Coverage Reference'!$B$6:$H$21,6,FALSE)*(E49+G49))</f>
        <v>0</v>
      </c>
      <c r="L49" s="99"/>
    </row>
    <row r="50" spans="1:16" x14ac:dyDescent="0.2">
      <c r="A50" s="42" t="str">
        <f>VLOOKUP($C50,'Article Reference'!$A$5:$D$55,2,FALSE)</f>
        <v>Pendulum® AquaCap herbicide</v>
      </c>
      <c r="B50" s="43" t="str">
        <f>VLOOKUP($C50,'Article Reference'!$A$5:$D$55,3,FALSE)</f>
        <v>2 x 2.5 gal</v>
      </c>
      <c r="C50" s="84">
        <v>4059049276</v>
      </c>
      <c r="D50" s="44">
        <f>VLOOKUP($C50,'Article Reference'!$A$5:$D$55,4,FALSE)</f>
        <v>299.62</v>
      </c>
      <c r="E50" s="100">
        <v>0</v>
      </c>
      <c r="F50" s="45">
        <f t="shared" si="2"/>
        <v>0</v>
      </c>
      <c r="G50" s="243"/>
      <c r="H50" s="244"/>
      <c r="I50" s="46">
        <f>IF(ISNA(VLOOKUP($C50,'Coverage Reference'!$B$6:$H$21,4,FALSE))=TRUE,0,VLOOKUP($C50,'Coverage Reference'!$B$6:$H$21,4,FALSE)*(E50+G50))</f>
        <v>0</v>
      </c>
      <c r="J50" s="46">
        <f>IF(ISNA(VLOOKUP($C50,'Coverage Reference'!$B$6:$H$21,5,FALSE))=TRUE,0,VLOOKUP($C50,'Coverage Reference'!$B$6:$H$21,5,FALSE)*(E50+G50))</f>
        <v>0</v>
      </c>
      <c r="K50" s="46">
        <f>IF(ISNA(VLOOKUP($C50,'Coverage Reference'!$B$6:$H$21,6,FALSE))=TRUE,0,VLOOKUP($C50,'Coverage Reference'!$B$6:$H$21,6,FALSE)*(E50+G50))</f>
        <v>0</v>
      </c>
      <c r="L50" s="99"/>
      <c r="O50" s="249" t="s">
        <v>262</v>
      </c>
      <c r="P50" s="222" t="str">
        <f>IF(P53&gt;0,"Achieved","Buy 2 or more bottles")</f>
        <v>Buy 2 or more bottles</v>
      </c>
    </row>
    <row r="51" spans="1:16" x14ac:dyDescent="0.2">
      <c r="A51" s="42" t="str">
        <f>VLOOKUP($C51,'Article Reference'!$A$5:$D$55,2,FALSE)</f>
        <v>Pendulum® AquaCap herbicide</v>
      </c>
      <c r="B51" s="43" t="str">
        <f>VLOOKUP($C51,'Article Reference'!$A$5:$D$55,3,FALSE)</f>
        <v>1 x 15 gal</v>
      </c>
      <c r="C51" s="84">
        <v>4059011279</v>
      </c>
      <c r="D51" s="44">
        <f>VLOOKUP($C51,'Article Reference'!$A$5:$D$55,4,FALSE)</f>
        <v>1071</v>
      </c>
      <c r="E51" s="100">
        <v>0</v>
      </c>
      <c r="F51" s="45">
        <f t="shared" si="2"/>
        <v>0</v>
      </c>
      <c r="G51" s="243"/>
      <c r="H51" s="244"/>
      <c r="I51" s="46">
        <f>IF(ISNA(VLOOKUP($C51,'Coverage Reference'!$B$6:$H$21,4,FALSE))=TRUE,0,VLOOKUP($C51,'Coverage Reference'!$B$6:$H$21,4,FALSE)*(E51+G51))</f>
        <v>0</v>
      </c>
      <c r="J51" s="46">
        <f>IF(ISNA(VLOOKUP($C51,'Coverage Reference'!$B$6:$H$21,5,FALSE))=TRUE,0,VLOOKUP($C51,'Coverage Reference'!$B$6:$H$21,5,FALSE)*(E51+G51))</f>
        <v>0</v>
      </c>
      <c r="K51" s="46">
        <f>IF(ISNA(VLOOKUP($C51,'Coverage Reference'!$B$6:$H$21,6,FALSE))=TRUE,0,VLOOKUP($C51,'Coverage Reference'!$B$6:$H$21,6,FALSE)*(E51+G51))</f>
        <v>0</v>
      </c>
      <c r="L51" s="99"/>
      <c r="O51" s="249"/>
      <c r="P51" s="223"/>
    </row>
    <row r="52" spans="1:16" ht="13.5" thickBot="1" x14ac:dyDescent="0.25">
      <c r="A52" s="42" t="str">
        <f>VLOOKUP($C52,'Article Reference'!$A$5:$D$55,2,FALSE)</f>
        <v>Pylex® herbicide</v>
      </c>
      <c r="B52" s="43" t="str">
        <f>VLOOKUP($C52,'Article Reference'!$A$5:$D$55,3,FALSE)</f>
        <v>4 x 4 oz</v>
      </c>
      <c r="C52" s="84">
        <v>4059018005</v>
      </c>
      <c r="D52" s="44">
        <f>VLOOKUP($C52,'Article Reference'!$A$5:$D$55,4,FALSE)</f>
        <v>1697.28</v>
      </c>
      <c r="E52" s="100">
        <v>0</v>
      </c>
      <c r="F52" s="45">
        <f t="shared" si="2"/>
        <v>0</v>
      </c>
      <c r="G52" s="243"/>
      <c r="H52" s="244"/>
      <c r="I52" s="46">
        <f>IF(ISNA(VLOOKUP($C52,'Coverage Reference'!$B$6:$H$21,4,FALSE))=TRUE,0,VLOOKUP($C52,'Coverage Reference'!$B$6:$H$21,4,FALSE)*(E52+G52))</f>
        <v>0</v>
      </c>
      <c r="J52" s="46">
        <f>IF(ISNA(VLOOKUP($C52,'Coverage Reference'!$B$6:$H$21,5,FALSE))=TRUE,0,VLOOKUP($C52,'Coverage Reference'!$B$6:$H$21,5,FALSE)*(E52+G52))</f>
        <v>0</v>
      </c>
      <c r="K52" s="46">
        <f>IF(ISNA(VLOOKUP($C52,'Coverage Reference'!$B$6:$H$21,6,FALSE))=TRUE,0,VLOOKUP($C52,'Coverage Reference'!$B$6:$H$21,6,FALSE)*(E52+G52))</f>
        <v>0</v>
      </c>
      <c r="L52" s="99"/>
      <c r="O52" s="249"/>
      <c r="P52" s="224"/>
    </row>
    <row r="53" spans="1:16" x14ac:dyDescent="0.2">
      <c r="A53" s="42" t="str">
        <f>VLOOKUP($C53,'Article Reference'!$A$5:$D$55,2,FALSE)</f>
        <v>Tower® herbicide</v>
      </c>
      <c r="B53" s="43" t="str">
        <f>VLOOKUP($C53,'Article Reference'!$A$5:$D$55,3,FALSE)</f>
        <v>2 x 2.5 gal</v>
      </c>
      <c r="C53" s="84">
        <v>4059032487</v>
      </c>
      <c r="D53" s="44">
        <f>VLOOKUP($C53,'Article Reference'!$A$5:$D$55,4,FALSE)</f>
        <v>2208.3000000000002</v>
      </c>
      <c r="E53" s="100">
        <v>0</v>
      </c>
      <c r="F53" s="45">
        <f t="shared" si="2"/>
        <v>0</v>
      </c>
      <c r="G53" s="243"/>
      <c r="H53" s="244"/>
      <c r="I53" s="46">
        <f>IF(ISNA(VLOOKUP($C53,'Coverage Reference'!$B$6:$H$21,4,FALSE))=TRUE,0,VLOOKUP($C53,'Coverage Reference'!$B$6:$H$21,4,FALSE)*(E53+G53))</f>
        <v>0</v>
      </c>
      <c r="J53" s="46">
        <f>IF(ISNA(VLOOKUP($C53,'Coverage Reference'!$B$6:$H$21,5,FALSE))=TRUE,0,VLOOKUP($C53,'Coverage Reference'!$B$6:$H$21,5,FALSE)*(E53+G53))</f>
        <v>0</v>
      </c>
      <c r="K53" s="46">
        <f>IF(ISNA(VLOOKUP($C53,'Coverage Reference'!$B$6:$H$21,6,FALSE))=TRUE,0,VLOOKUP($C53,'Coverage Reference'!$B$6:$H$21,6,FALSE)*(E53+G53))</f>
        <v>0</v>
      </c>
      <c r="L53" s="99"/>
      <c r="O53" s="231">
        <f>'Range Reference'!P23</f>
        <v>0</v>
      </c>
      <c r="P53" s="233">
        <f>IF(O53&gt;=2,0.05,0)</f>
        <v>0</v>
      </c>
    </row>
    <row r="54" spans="1:16" x14ac:dyDescent="0.2">
      <c r="A54" s="228" t="s">
        <v>182</v>
      </c>
      <c r="B54" s="229"/>
      <c r="C54" s="229"/>
      <c r="D54" s="230"/>
      <c r="E54" s="263"/>
      <c r="F54" s="264"/>
      <c r="G54" s="243"/>
      <c r="H54" s="244"/>
      <c r="I54" s="46"/>
      <c r="J54" s="46"/>
      <c r="K54" s="46"/>
      <c r="L54" s="99"/>
      <c r="O54" s="232"/>
      <c r="P54" s="234"/>
    </row>
    <row r="55" spans="1:16" x14ac:dyDescent="0.2">
      <c r="A55" s="42" t="str">
        <f>VLOOKUP($C55,'Article Reference'!$A$5:$D$55,2,FALSE)</f>
        <v>Admiral® lake colorant</v>
      </c>
      <c r="B55" s="43" t="str">
        <f>VLOOKUP($C55,'Article Reference'!$A$5:$D$55,3,FALSE)</f>
        <v>4 x 1 gal</v>
      </c>
      <c r="C55" s="84">
        <v>4059014151</v>
      </c>
      <c r="D55" s="44">
        <f>VLOOKUP($C55,'Article Reference'!$A$5:$D$55,4,FALSE)</f>
        <v>300.92</v>
      </c>
      <c r="E55" s="100">
        <v>0</v>
      </c>
      <c r="F55" s="45">
        <f t="shared" ref="F55:F60" si="3">E55*D55</f>
        <v>0</v>
      </c>
      <c r="G55" s="243"/>
      <c r="H55" s="244"/>
      <c r="I55" s="46">
        <f>IF(ISNA(VLOOKUP($C55,'Coverage Reference'!$B$6:$H$21,4,FALSE))=TRUE,0,VLOOKUP($C55,'Coverage Reference'!$B$6:$H$21,4,FALSE)*(E55+G55))</f>
        <v>0</v>
      </c>
      <c r="J55" s="46">
        <f>IF(ISNA(VLOOKUP($C55,'Coverage Reference'!$B$6:$H$21,5,FALSE))=TRUE,0,VLOOKUP($C55,'Coverage Reference'!$B$6:$H$21,5,FALSE)*(E55+G55))</f>
        <v>0</v>
      </c>
      <c r="K55" s="46">
        <f>IF(ISNA(VLOOKUP($C55,'Coverage Reference'!$B$6:$H$21,6,FALSE))=TRUE,0,VLOOKUP($C55,'Coverage Reference'!$B$6:$H$21,6,FALSE)*(E55+G55))</f>
        <v>0</v>
      </c>
      <c r="L55" s="99"/>
    </row>
    <row r="56" spans="1:16" x14ac:dyDescent="0.2">
      <c r="A56" s="42" t="str">
        <f>VLOOKUP($C56,'Article Reference'!$A$5:$D$55,2,FALSE)</f>
        <v>Black Onyx lake &amp; pond colorant</v>
      </c>
      <c r="B56" s="43" t="str">
        <f>VLOOKUP($C56,'Article Reference'!$A$5:$D$55,3,FALSE)</f>
        <v>4 x 1 gal</v>
      </c>
      <c r="C56" s="84">
        <v>4059013424</v>
      </c>
      <c r="D56" s="44">
        <f>VLOOKUP($C56,'Article Reference'!$A$5:$D$55,4,FALSE)</f>
        <v>515.12</v>
      </c>
      <c r="E56" s="100">
        <v>0</v>
      </c>
      <c r="F56" s="45">
        <f t="shared" si="3"/>
        <v>0</v>
      </c>
      <c r="G56" s="243"/>
      <c r="H56" s="244"/>
      <c r="I56" s="46">
        <f>IF(ISNA(VLOOKUP($C56,'Coverage Reference'!$B$6:$H$21,4,FALSE))=TRUE,0,VLOOKUP($C56,'Coverage Reference'!$B$6:$H$21,4,FALSE)*(E56+G56))</f>
        <v>0</v>
      </c>
      <c r="J56" s="46">
        <f>IF(ISNA(VLOOKUP($C56,'Coverage Reference'!$B$6:$H$21,5,FALSE))=TRUE,0,VLOOKUP($C56,'Coverage Reference'!$B$6:$H$21,5,FALSE)*(E56+G56))</f>
        <v>0</v>
      </c>
      <c r="K56" s="46">
        <f>IF(ISNA(VLOOKUP($C56,'Coverage Reference'!$B$6:$H$21,6,FALSE))=TRUE,0,VLOOKUP($C56,'Coverage Reference'!$B$6:$H$21,6,FALSE)*(E56+G56))</f>
        <v>0</v>
      </c>
      <c r="L56" s="99"/>
    </row>
    <row r="57" spans="1:16" x14ac:dyDescent="0.2">
      <c r="A57" s="42" t="str">
        <f>VLOOKUP($C57,'Article Reference'!$A$5:$D$55,2,FALSE)</f>
        <v>Green Lawnger® colorant</v>
      </c>
      <c r="B57" s="43" t="str">
        <f>VLOOKUP($C57,'Article Reference'!$A$5:$D$55,3,FALSE)</f>
        <v>2 x 2.5 gal</v>
      </c>
      <c r="C57" s="84">
        <v>4059030464</v>
      </c>
      <c r="D57" s="44">
        <f>VLOOKUP($C57,'Article Reference'!$A$5:$D$55,4,FALSE)</f>
        <v>446.26</v>
      </c>
      <c r="E57" s="100">
        <v>0</v>
      </c>
      <c r="F57" s="45">
        <f t="shared" si="3"/>
        <v>0</v>
      </c>
      <c r="G57" s="243"/>
      <c r="H57" s="244"/>
      <c r="I57" s="46">
        <f>IF(ISNA(VLOOKUP($C57,'Coverage Reference'!$B$6:$H$21,4,FALSE))=TRUE,0,VLOOKUP($C57,'Coverage Reference'!$B$6:$H$21,4,FALSE)*(E57+G57))</f>
        <v>0</v>
      </c>
      <c r="J57" s="46">
        <f>IF(ISNA(VLOOKUP($C57,'Coverage Reference'!$B$6:$H$21,5,FALSE))=TRUE,0,VLOOKUP($C57,'Coverage Reference'!$B$6:$H$21,5,FALSE)*(E57+G57))</f>
        <v>0</v>
      </c>
      <c r="K57" s="46">
        <f>IF(ISNA(VLOOKUP($C57,'Coverage Reference'!$B$6:$H$21,6,FALSE))=TRUE,0,VLOOKUP($C57,'Coverage Reference'!$B$6:$H$21,6,FALSE)*(E57+G57))</f>
        <v>0</v>
      </c>
      <c r="L57" s="99"/>
    </row>
    <row r="58" spans="1:16" x14ac:dyDescent="0.2">
      <c r="A58" s="42" t="str">
        <f>VLOOKUP($C58,'Article Reference'!$A$5:$D$55,2,FALSE)</f>
        <v>Green Lawnger® Transition HC colorant</v>
      </c>
      <c r="B58" s="43" t="str">
        <f>VLOOKUP($C58,'Article Reference'!$A$5:$D$55,3,FALSE)</f>
        <v>4 x 1 gal</v>
      </c>
      <c r="C58" s="84">
        <v>4059030456</v>
      </c>
      <c r="D58" s="44">
        <f>VLOOKUP($C58,'Article Reference'!$A$5:$D$55,4,FALSE)</f>
        <v>938.4</v>
      </c>
      <c r="E58" s="100">
        <v>0</v>
      </c>
      <c r="F58" s="45">
        <f t="shared" si="3"/>
        <v>0</v>
      </c>
      <c r="G58" s="243"/>
      <c r="H58" s="244"/>
      <c r="I58" s="46">
        <f>IF(ISNA(VLOOKUP($C58,'Coverage Reference'!$B$6:$H$21,4,FALSE))=TRUE,0,VLOOKUP($C58,'Coverage Reference'!$B$6:$H$21,4,FALSE)*(E58+G58))</f>
        <v>0</v>
      </c>
      <c r="J58" s="46">
        <f>IF(ISNA(VLOOKUP($C58,'Coverage Reference'!$B$6:$H$21,5,FALSE))=TRUE,0,VLOOKUP($C58,'Coverage Reference'!$B$6:$H$21,5,FALSE)*(E58+G58))</f>
        <v>0</v>
      </c>
      <c r="K58" s="46">
        <f>IF(ISNA(VLOOKUP($C58,'Coverage Reference'!$B$6:$H$21,6,FALSE))=TRUE,0,VLOOKUP($C58,'Coverage Reference'!$B$6:$H$21,6,FALSE)*(E58+G58))</f>
        <v>0</v>
      </c>
      <c r="L58" s="99"/>
    </row>
    <row r="59" spans="1:16" x14ac:dyDescent="0.2">
      <c r="A59" s="42" t="str">
        <f>VLOOKUP($C59,'Article Reference'!$A$5:$D$55,2,FALSE)</f>
        <v>Green Lawnger® Transition HC colorant</v>
      </c>
      <c r="B59" s="43" t="str">
        <f>VLOOKUP($C59,'Article Reference'!$A$5:$D$55,3,FALSE)</f>
        <v>1 x 30 gal</v>
      </c>
      <c r="C59" s="84">
        <v>4059023772</v>
      </c>
      <c r="D59" s="44">
        <f>VLOOKUP($C59,'Article Reference'!$A$5:$D$55,4,FALSE)</f>
        <v>2715.75</v>
      </c>
      <c r="E59" s="100">
        <v>0</v>
      </c>
      <c r="F59" s="45">
        <f t="shared" si="3"/>
        <v>0</v>
      </c>
      <c r="G59" s="243"/>
      <c r="H59" s="244"/>
      <c r="I59" s="46"/>
      <c r="J59" s="46"/>
      <c r="K59" s="46"/>
      <c r="L59" s="99"/>
    </row>
    <row r="60" spans="1:16" x14ac:dyDescent="0.2">
      <c r="A60" s="42" t="str">
        <f>VLOOKUP($C60,'Article Reference'!$A$5:$D$55,2,FALSE)</f>
        <v>Green Lawnger® Vision Pro colorant</v>
      </c>
      <c r="B60" s="43" t="str">
        <f>VLOOKUP($C60,'Article Reference'!$A$5:$D$55,3,FALSE)</f>
        <v>4 x 1 gal</v>
      </c>
      <c r="C60" s="84">
        <v>4059030457</v>
      </c>
      <c r="D60" s="44">
        <f>VLOOKUP($C60,'Article Reference'!$A$5:$D$55,4,FALSE)</f>
        <v>846.6</v>
      </c>
      <c r="E60" s="100">
        <v>0</v>
      </c>
      <c r="F60" s="45">
        <f t="shared" si="3"/>
        <v>0</v>
      </c>
      <c r="G60" s="243"/>
      <c r="H60" s="244"/>
      <c r="I60" s="46">
        <f>IF(ISNA(VLOOKUP($C60,'Coverage Reference'!$B$6:$H$21,4,FALSE))=TRUE,0,VLOOKUP($C60,'Coverage Reference'!$B$6:$H$21,4,FALSE)*(E60+G60))</f>
        <v>0</v>
      </c>
      <c r="J60" s="46">
        <f>IF(ISNA(VLOOKUP($C60,'Coverage Reference'!$B$6:$H$21,5,FALSE))=TRUE,0,VLOOKUP($C60,'Coverage Reference'!$B$6:$H$21,5,FALSE)*(E60+G60))</f>
        <v>0</v>
      </c>
      <c r="K60" s="46">
        <f>IF(ISNA(VLOOKUP($C60,'Coverage Reference'!$B$6:$H$21,6,FALSE))=TRUE,0,VLOOKUP($C60,'Coverage Reference'!$B$6:$H$21,6,FALSE)*(E60+G60))</f>
        <v>0</v>
      </c>
      <c r="L60" s="99"/>
    </row>
    <row r="61" spans="1:16" x14ac:dyDescent="0.2">
      <c r="A61" s="228" t="s">
        <v>206</v>
      </c>
      <c r="B61" s="229"/>
      <c r="C61" s="229"/>
      <c r="D61" s="230"/>
      <c r="E61" s="263"/>
      <c r="F61" s="264"/>
      <c r="G61" s="243"/>
      <c r="H61" s="244"/>
      <c r="I61" s="46"/>
      <c r="J61" s="46"/>
      <c r="K61" s="46"/>
      <c r="L61" s="99"/>
    </row>
    <row r="62" spans="1:16" x14ac:dyDescent="0.2">
      <c r="A62" s="42" t="str">
        <f>VLOOKUP($C62,'Article Reference'!$A$5:$D$55,2,FALSE)</f>
        <v>Turf Mark spray indicator - blue</v>
      </c>
      <c r="B62" s="43" t="str">
        <f>VLOOKUP($C62,'Article Reference'!$A$5:$D$55,3,FALSE)</f>
        <v>12 x 0.25 gal</v>
      </c>
      <c r="C62" s="84">
        <v>4059013723</v>
      </c>
      <c r="D62" s="44">
        <f>VLOOKUP($C62,'Article Reference'!$A$5:$D$55,4,FALSE)</f>
        <v>292.56</v>
      </c>
      <c r="E62" s="100">
        <v>0</v>
      </c>
      <c r="F62" s="45">
        <f>E62*D62</f>
        <v>0</v>
      </c>
      <c r="G62" s="243"/>
      <c r="H62" s="244"/>
      <c r="I62" s="46">
        <f>IF(ISNA(VLOOKUP($C62,'Coverage Reference'!$B$6:$H$21,4,FALSE))=TRUE,0,VLOOKUP($C62,'Coverage Reference'!$B$6:$H$21,4,FALSE)*(E62+G62))</f>
        <v>0</v>
      </c>
      <c r="J62" s="46">
        <f>IF(ISNA(VLOOKUP($C62,'Coverage Reference'!$B$6:$H$21,5,FALSE))=TRUE,0,VLOOKUP($C62,'Coverage Reference'!$B$6:$H$21,5,FALSE)*(E62+G62))</f>
        <v>0</v>
      </c>
      <c r="K62" s="46">
        <f>IF(ISNA(VLOOKUP($C62,'Coverage Reference'!$B$6:$H$21,6,FALSE))=TRUE,0,VLOOKUP($C62,'Coverage Reference'!$B$6:$H$21,6,FALSE)*(E62+G62))</f>
        <v>0</v>
      </c>
      <c r="L62" s="99"/>
    </row>
    <row r="63" spans="1:16" x14ac:dyDescent="0.2">
      <c r="A63" s="42" t="str">
        <f>VLOOKUP($C63,'Article Reference'!$A$5:$D$55,2,FALSE)</f>
        <v>Turf Mark spray indicator - blue</v>
      </c>
      <c r="B63" s="43" t="str">
        <f>VLOOKUP($C63,'Article Reference'!$A$5:$D$55,3,FALSE)</f>
        <v>4 x 1 gal</v>
      </c>
      <c r="C63" s="84">
        <v>4059013420</v>
      </c>
      <c r="D63" s="44">
        <f>VLOOKUP($C63,'Article Reference'!$A$5:$D$55,4,FALSE)</f>
        <v>280.52</v>
      </c>
      <c r="E63" s="100">
        <v>0</v>
      </c>
      <c r="F63" s="45">
        <f>E63*D63</f>
        <v>0</v>
      </c>
      <c r="G63" s="243"/>
      <c r="H63" s="244"/>
      <c r="I63" s="46">
        <f>IF(ISNA(VLOOKUP($C63,'Coverage Reference'!$B$6:$H$21,4,FALSE))=TRUE,0,VLOOKUP($C63,'Coverage Reference'!$B$6:$H$21,4,FALSE)*(E63+G63))</f>
        <v>0</v>
      </c>
      <c r="J63" s="46">
        <f>IF(ISNA(VLOOKUP($C63,'Coverage Reference'!$B$6:$H$21,5,FALSE))=TRUE,0,VLOOKUP($C63,'Coverage Reference'!$B$6:$H$21,5,FALSE)*(E63+G63))</f>
        <v>0</v>
      </c>
      <c r="K63" s="46">
        <f>IF(ISNA(VLOOKUP($C63,'Coverage Reference'!$B$6:$H$21,6,FALSE))=TRUE,0,VLOOKUP($C63,'Coverage Reference'!$B$6:$H$21,6,FALSE)*(E63+G63))</f>
        <v>0</v>
      </c>
      <c r="L63" s="99"/>
    </row>
    <row r="64" spans="1:16" x14ac:dyDescent="0.2">
      <c r="A64" s="42" t="str">
        <f>VLOOKUP($C64,'Article Reference'!$A$5:$D$55,2,FALSE)</f>
        <v>Turf Mark spray indicator - blue</v>
      </c>
      <c r="B64" s="43" t="str">
        <f>VLOOKUP($C64,'Article Reference'!$A$5:$D$55,3,FALSE)</f>
        <v>2 x 2.5 gal</v>
      </c>
      <c r="C64" s="84">
        <v>4059030213</v>
      </c>
      <c r="D64" s="44">
        <f>VLOOKUP($C64,'Article Reference'!$A$5:$D$55,4,FALSE)</f>
        <v>328.32</v>
      </c>
      <c r="E64" s="100">
        <v>0</v>
      </c>
      <c r="F64" s="45">
        <f>E64*D64</f>
        <v>0</v>
      </c>
      <c r="G64" s="243"/>
      <c r="H64" s="244"/>
      <c r="I64" s="46">
        <f>IF(ISNA(VLOOKUP($C64,'Coverage Reference'!$B$6:$H$21,4,FALSE))=TRUE,0,VLOOKUP($C64,'Coverage Reference'!$B$6:$H$21,4,FALSE)*(E64+G64))</f>
        <v>0</v>
      </c>
      <c r="J64" s="46">
        <f>IF(ISNA(VLOOKUP($C64,'Coverage Reference'!$B$6:$H$21,5,FALSE))=TRUE,0,VLOOKUP($C64,'Coverage Reference'!$B$6:$H$21,5,FALSE)*(E64+G64))</f>
        <v>0</v>
      </c>
      <c r="K64" s="46">
        <f>IF(ISNA(VLOOKUP($C64,'Coverage Reference'!$B$6:$H$21,6,FALSE))=TRUE,0,VLOOKUP($C64,'Coverage Reference'!$B$6:$H$21,6,FALSE)*(E64+G64))</f>
        <v>0</v>
      </c>
      <c r="L64" s="99"/>
    </row>
    <row r="65" spans="1:12" x14ac:dyDescent="0.2">
      <c r="A65" s="42" t="str">
        <f>VLOOKUP($C65,'Article Reference'!$A$5:$D$55,2,FALSE)</f>
        <v>Turf Mark spray indicator - blue</v>
      </c>
      <c r="B65" s="43" t="str">
        <f>VLOOKUP($C65,'Article Reference'!$A$5:$D$55,3,FALSE)</f>
        <v>1 x 30 gal</v>
      </c>
      <c r="C65" s="84">
        <v>4059013314</v>
      </c>
      <c r="D65" s="44">
        <f>VLOOKUP($C65,'Article Reference'!$A$5:$D$55,4,FALSE)</f>
        <v>1836</v>
      </c>
      <c r="E65" s="100">
        <v>0</v>
      </c>
      <c r="F65" s="45">
        <f>E65*D65</f>
        <v>0</v>
      </c>
      <c r="G65" s="243"/>
      <c r="H65" s="244"/>
      <c r="I65" s="46"/>
      <c r="J65" s="46"/>
      <c r="K65" s="46"/>
      <c r="L65" s="99"/>
    </row>
    <row r="66" spans="1:12" x14ac:dyDescent="0.2">
      <c r="A66" s="275" t="s">
        <v>119</v>
      </c>
      <c r="B66" s="275"/>
      <c r="C66" s="275"/>
      <c r="D66" s="275"/>
      <c r="E66" s="127"/>
      <c r="F66" s="128">
        <f>SUM(F36:F65)</f>
        <v>0</v>
      </c>
      <c r="G66" s="245"/>
      <c r="H66" s="246"/>
      <c r="I66" s="272">
        <f>F66</f>
        <v>0</v>
      </c>
      <c r="J66" s="272"/>
      <c r="K66" s="272"/>
    </row>
    <row r="71" spans="1:12" ht="12.75" customHeight="1" x14ac:dyDescent="0.2">
      <c r="A71" s="258" t="s">
        <v>228</v>
      </c>
      <c r="B71" s="258"/>
      <c r="C71" s="258"/>
      <c r="D71" s="258"/>
      <c r="E71" s="258"/>
      <c r="F71" s="258"/>
      <c r="G71" s="258"/>
      <c r="H71" s="258"/>
    </row>
    <row r="72" spans="1:12" x14ac:dyDescent="0.2">
      <c r="A72" s="258"/>
      <c r="B72" s="258"/>
      <c r="C72" s="258"/>
      <c r="D72" s="258"/>
      <c r="E72" s="258"/>
      <c r="F72" s="258"/>
      <c r="G72" s="258"/>
      <c r="H72" s="258"/>
    </row>
    <row r="73" spans="1:12" x14ac:dyDescent="0.2">
      <c r="A73" s="258"/>
      <c r="B73" s="258"/>
      <c r="C73" s="258"/>
      <c r="D73" s="258"/>
      <c r="E73" s="258"/>
      <c r="F73" s="258"/>
      <c r="G73" s="258"/>
      <c r="H73" s="258"/>
    </row>
    <row r="74" spans="1:12" x14ac:dyDescent="0.2">
      <c r="A74" s="258"/>
      <c r="B74" s="258"/>
      <c r="C74" s="258"/>
      <c r="D74" s="258"/>
      <c r="E74" s="258"/>
      <c r="F74" s="258"/>
      <c r="G74" s="258"/>
      <c r="H74" s="258"/>
    </row>
    <row r="75" spans="1:12" x14ac:dyDescent="0.2">
      <c r="A75" s="258"/>
      <c r="B75" s="258"/>
      <c r="C75" s="258"/>
      <c r="D75" s="258"/>
      <c r="E75" s="258"/>
      <c r="F75" s="258"/>
      <c r="G75" s="258"/>
      <c r="H75" s="258"/>
    </row>
    <row r="76" spans="1:12" x14ac:dyDescent="0.2">
      <c r="A76" s="258"/>
      <c r="B76" s="258"/>
      <c r="C76" s="258"/>
      <c r="D76" s="258"/>
      <c r="E76" s="258"/>
      <c r="F76" s="258"/>
      <c r="G76" s="258"/>
      <c r="H76" s="258"/>
    </row>
    <row r="77" spans="1:12" x14ac:dyDescent="0.2">
      <c r="A77" s="258"/>
      <c r="B77" s="258"/>
      <c r="C77" s="258"/>
      <c r="D77" s="258"/>
      <c r="E77" s="258"/>
      <c r="F77" s="258"/>
      <c r="G77" s="258"/>
      <c r="H77" s="258"/>
    </row>
    <row r="78" spans="1:12" x14ac:dyDescent="0.2">
      <c r="A78" s="258"/>
      <c r="B78" s="258"/>
      <c r="C78" s="258"/>
      <c r="D78" s="258"/>
      <c r="E78" s="258"/>
      <c r="F78" s="258"/>
      <c r="G78" s="258"/>
      <c r="H78" s="258"/>
    </row>
    <row r="79" spans="1:12" x14ac:dyDescent="0.2">
      <c r="A79" s="258"/>
      <c r="B79" s="258"/>
      <c r="C79" s="258"/>
      <c r="D79" s="258"/>
      <c r="E79" s="258"/>
      <c r="F79" s="258"/>
      <c r="G79" s="258"/>
      <c r="H79" s="258"/>
    </row>
    <row r="80" spans="1:12" x14ac:dyDescent="0.2">
      <c r="A80" s="258"/>
      <c r="B80" s="258"/>
      <c r="C80" s="258"/>
      <c r="D80" s="258"/>
      <c r="E80" s="258"/>
      <c r="F80" s="258"/>
      <c r="G80" s="258"/>
      <c r="H80" s="258"/>
    </row>
  </sheetData>
  <sheetProtection algorithmName="SHA-512" hashValue="7bcKd4S9lZDwTiPjoVnI6ene3bi0CYCmds+cOtjcTKT3nzro1EnqSDt7kw+dGLmQxC1+IBnRk1U+2fXMhlyfXA==" saltValue="9+20cmdLUCobqQeTHmlOHQ==" spinCount="100000" sheet="1" objects="1" scenarios="1"/>
  <protectedRanges>
    <protectedRange sqref="G26:G28 E26:E27" name="Range1"/>
    <protectedRange sqref="E36:E39 G29:G32 E28:E32 E55:E60 E62:E65 E41:E44 E46:E53 G36:G65" name="Range2"/>
  </protectedRanges>
  <mergeCells count="57">
    <mergeCell ref="G21:H21"/>
    <mergeCell ref="I66:K66"/>
    <mergeCell ref="I33:K33"/>
    <mergeCell ref="B21:C21"/>
    <mergeCell ref="D17:F17"/>
    <mergeCell ref="D21:F21"/>
    <mergeCell ref="A33:D33"/>
    <mergeCell ref="A66:D66"/>
    <mergeCell ref="E45:F45"/>
    <mergeCell ref="E54:F54"/>
    <mergeCell ref="A71:H80"/>
    <mergeCell ref="B20:C20"/>
    <mergeCell ref="A18:A19"/>
    <mergeCell ref="B18:C19"/>
    <mergeCell ref="A61:D61"/>
    <mergeCell ref="E61:F61"/>
    <mergeCell ref="D23:F23"/>
    <mergeCell ref="G23:H23"/>
    <mergeCell ref="D22:F22"/>
    <mergeCell ref="G22:H22"/>
    <mergeCell ref="A54:D54"/>
    <mergeCell ref="E35:F35"/>
    <mergeCell ref="E40:F40"/>
    <mergeCell ref="G19:H19"/>
    <mergeCell ref="D20:F20"/>
    <mergeCell ref="B22:C22"/>
    <mergeCell ref="A9:H9"/>
    <mergeCell ref="A16:H16"/>
    <mergeCell ref="G20:H20"/>
    <mergeCell ref="B17:C17"/>
    <mergeCell ref="G18:H18"/>
    <mergeCell ref="G17:H17"/>
    <mergeCell ref="D19:F19"/>
    <mergeCell ref="D18:F18"/>
    <mergeCell ref="O53:O54"/>
    <mergeCell ref="P53:P54"/>
    <mergeCell ref="A7:H7"/>
    <mergeCell ref="O15:P15"/>
    <mergeCell ref="O16:P17"/>
    <mergeCell ref="P18:P19"/>
    <mergeCell ref="O18:O19"/>
    <mergeCell ref="O20:O21"/>
    <mergeCell ref="P20:P21"/>
    <mergeCell ref="P22:P23"/>
    <mergeCell ref="O22:O23"/>
    <mergeCell ref="G34:H66"/>
    <mergeCell ref="A8:H8"/>
    <mergeCell ref="O31:O32"/>
    <mergeCell ref="P31:P32"/>
    <mergeCell ref="O50:O52"/>
    <mergeCell ref="P50:P52"/>
    <mergeCell ref="B23:C23"/>
    <mergeCell ref="O26:O27"/>
    <mergeCell ref="P26:P27"/>
    <mergeCell ref="A35:D35"/>
    <mergeCell ref="A40:D40"/>
    <mergeCell ref="A45:D45"/>
  </mergeCells>
  <conditionalFormatting sqref="B17">
    <cfRule type="cellIs" dxfId="16" priority="74" operator="equal">
      <formula>"October Rebate Locked"</formula>
    </cfRule>
    <cfRule type="cellIs" dxfId="15" priority="76" operator="equal">
      <formula>"Nov-Dec Rebate Locked"</formula>
    </cfRule>
    <cfRule type="cellIs" dxfId="14" priority="77" operator="equal">
      <formula>"Rebate Level Not Achieved"</formula>
    </cfRule>
  </conditionalFormatting>
  <conditionalFormatting sqref="B21">
    <cfRule type="cellIs" dxfId="13" priority="53" operator="equal">
      <formula>"Not Achieved"</formula>
    </cfRule>
  </conditionalFormatting>
  <conditionalFormatting sqref="B18">
    <cfRule type="cellIs" dxfId="12" priority="41" operator="equal">
      <formula>"Not Achieved"</formula>
    </cfRule>
  </conditionalFormatting>
  <conditionalFormatting sqref="B18">
    <cfRule type="cellIs" dxfId="11" priority="40" operator="equal">
      <formula>0</formula>
    </cfRule>
  </conditionalFormatting>
  <conditionalFormatting sqref="G18:H18 G20:H20">
    <cfRule type="cellIs" dxfId="10" priority="38" operator="greaterThan">
      <formula>0</formula>
    </cfRule>
  </conditionalFormatting>
  <conditionalFormatting sqref="G23">
    <cfRule type="cellIs" dxfId="9" priority="37" operator="greaterThan">
      <formula>0</formula>
    </cfRule>
  </conditionalFormatting>
  <conditionalFormatting sqref="O16">
    <cfRule type="cellIs" dxfId="8" priority="31" operator="notEqual">
      <formula>"Qualified"</formula>
    </cfRule>
    <cfRule type="cellIs" dxfId="7" priority="32" operator="equal">
      <formula>"Qualified"</formula>
    </cfRule>
  </conditionalFormatting>
  <conditionalFormatting sqref="P20 P25">
    <cfRule type="cellIs" dxfId="6" priority="24" operator="equal">
      <formula>"Max"</formula>
    </cfRule>
  </conditionalFormatting>
  <conditionalFormatting sqref="B22:B23">
    <cfRule type="cellIs" dxfId="5" priority="20" operator="equal">
      <formula>"Not Achieved"</formula>
    </cfRule>
  </conditionalFormatting>
  <conditionalFormatting sqref="P53">
    <cfRule type="cellIs" dxfId="4" priority="9" operator="equal">
      <formula>"Max"</formula>
    </cfRule>
  </conditionalFormatting>
  <conditionalFormatting sqref="P28">
    <cfRule type="cellIs" dxfId="3" priority="6" operator="equal">
      <formula>"Max"</formula>
    </cfRule>
  </conditionalFormatting>
  <conditionalFormatting sqref="P31">
    <cfRule type="cellIs" dxfId="2" priority="3" operator="equal">
      <formula>"Max"</formula>
    </cfRule>
  </conditionalFormatting>
  <conditionalFormatting sqref="P50">
    <cfRule type="cellIs" dxfId="1" priority="1" operator="equal">
      <formula>"Achieved"</formula>
    </cfRule>
    <cfRule type="colorScale" priority="2">
      <colorScale>
        <cfvo type="min"/>
        <cfvo type="max"/>
        <color rgb="FFFF7128"/>
        <color rgb="FFFFEF9C"/>
      </colorScale>
    </cfRule>
  </conditionalFormatting>
  <dataValidations count="2">
    <dataValidation type="decimal" operator="greaterThanOrEqual" allowBlank="1" showInputMessage="1" showErrorMessage="1" sqref="E41:E44 E55:E60 E62:E65 E46:E52 E36:E39" xr:uid="{2D8F0DFB-B298-4DB5-94D4-30638B72BC83}">
      <formula1>0</formula1>
    </dataValidation>
    <dataValidation type="decimal" operator="greaterThanOrEqual" allowBlank="1" showInputMessage="1" showErrorMessage="1" error="Only Complete Case/Cube Quantities Allowed - Please Enter Whole Number" sqref="E53 G26:G32 E26:E32"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33" max="16" man="1"/>
  </row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279" t="s">
        <v>62</v>
      </c>
      <c r="B16" s="279"/>
      <c r="C16" s="50">
        <v>40</v>
      </c>
    </row>
    <row r="17" spans="1:13" x14ac:dyDescent="0.2">
      <c r="A17" s="279" t="s">
        <v>88</v>
      </c>
      <c r="B17" s="279"/>
      <c r="C17" s="50">
        <v>10</v>
      </c>
    </row>
    <row r="19" spans="1:13" x14ac:dyDescent="0.2">
      <c r="A19" s="51" t="s">
        <v>78</v>
      </c>
    </row>
    <row r="20" spans="1:13" ht="15" x14ac:dyDescent="0.25">
      <c r="A20" s="282" t="s">
        <v>80</v>
      </c>
      <c r="B20" s="283"/>
      <c r="C20" s="283"/>
      <c r="D20" s="283"/>
      <c r="E20" s="283"/>
      <c r="F20" s="283"/>
      <c r="G20" s="283"/>
      <c r="H20" s="283"/>
      <c r="I20" s="284"/>
      <c r="M20" t="s">
        <v>42</v>
      </c>
    </row>
    <row r="21" spans="1:13" x14ac:dyDescent="0.2">
      <c r="A21" s="277" t="s">
        <v>13</v>
      </c>
      <c r="B21" s="277" t="s">
        <v>41</v>
      </c>
      <c r="C21" s="277" t="s">
        <v>77</v>
      </c>
      <c r="D21" s="280" t="s">
        <v>17</v>
      </c>
      <c r="E21" s="281"/>
      <c r="F21" s="280" t="s">
        <v>54</v>
      </c>
      <c r="G21" s="281"/>
      <c r="H21" s="280" t="s">
        <v>46</v>
      </c>
      <c r="I21" s="281"/>
      <c r="M21" t="s">
        <v>43</v>
      </c>
    </row>
    <row r="22" spans="1:13" x14ac:dyDescent="0.2">
      <c r="A22" s="278"/>
      <c r="B22" s="278"/>
      <c r="C22" s="278"/>
      <c r="D22" s="57" t="s">
        <v>44</v>
      </c>
      <c r="E22" s="57" t="s">
        <v>45</v>
      </c>
      <c r="F22" s="57" t="s">
        <v>44</v>
      </c>
      <c r="G22" s="57" t="s">
        <v>45</v>
      </c>
      <c r="H22" s="57" t="s">
        <v>44</v>
      </c>
      <c r="I22" s="57" t="s">
        <v>45</v>
      </c>
    </row>
    <row r="23" spans="1:13" x14ac:dyDescent="0.2">
      <c r="A23" s="276" t="s">
        <v>21</v>
      </c>
      <c r="B23" s="58" t="s">
        <v>22</v>
      </c>
      <c r="C23" s="59" t="s">
        <v>42</v>
      </c>
      <c r="D23" s="60">
        <f>SUMIFS('Step 1 - Order Planner'!I$26:I$31,'Step 1 - Order Planner'!$C$26:$C$31,$K23)+SUMIFS('Step 1 - Order Planner'!I$36:I$64,'Step 1 - Order Planner'!$C$36:$C$64,$K23)</f>
        <v>0</v>
      </c>
      <c r="E23" s="60">
        <f t="shared" ref="E23:E37" si="0">IF(OR($C$16=0,$C$17=0),"Please Enter Acreage",IF(C23="Greens",D23/$C$17,IF(C23="Fairways",D23/$C$16,0)))</f>
        <v>0</v>
      </c>
      <c r="F23" s="60">
        <f>SUMIFS('Step 1 - Order Planner'!J$26:J$31,'Step 1 - Order Planner'!$C$26:$C$31,$K23)+SUMIFS('Step 1 - Order Planner'!J$36:J$64,'Step 1 - Order Planner'!$C$36:$C$64,$K23)</f>
        <v>0</v>
      </c>
      <c r="G23" s="60">
        <f>IF(OR($C$16=0,$C$17=0),"Please Enter Acreage",IF(C23="Greens",F23/$C$17,IF(C23="Fairways",F23/$C$16,0)))</f>
        <v>0</v>
      </c>
      <c r="H23" s="60">
        <f>SUMIFS('Step 1 - Order Planner'!K$26:K$31,'Step 1 - Order Planner'!$C$26:$C$31,$K23)+SUMIFS('Step 1 - Order Planner'!K$36:K$64,'Step 1 - Order Planner'!$C$36:$C$64,$K23)</f>
        <v>0</v>
      </c>
      <c r="I23" s="60">
        <f t="shared" ref="I23:I37" si="1">IF(OR($C$16=0,$C$17=0),"Please Enter Acreage",IF(C23="Greens",H23/$C$17,IF(C23="Fairways",H23/$C$16,0)))</f>
        <v>0</v>
      </c>
      <c r="K23" s="20">
        <v>59021463</v>
      </c>
      <c r="L23" s="47"/>
    </row>
    <row r="24" spans="1:13" x14ac:dyDescent="0.2">
      <c r="A24" s="276"/>
      <c r="B24" s="58" t="s">
        <v>23</v>
      </c>
      <c r="C24" s="59"/>
      <c r="D24" s="60">
        <f>SUMIFS('Step 1 - Order Planner'!I$26:I$31,'Step 1 - Order Planner'!$C$26:$C$31,$K24)+SUMIFS('Step 1 - Order Planner'!I$36:I$64,'Step 1 - Order Planner'!$C$36:$C$64,$K24)</f>
        <v>0</v>
      </c>
      <c r="E24" s="60">
        <f t="shared" si="0"/>
        <v>0</v>
      </c>
      <c r="F24" s="60">
        <f>SUMIFS('Step 1 - Order Planner'!J$26:J$31,'Step 1 - Order Planner'!$C$26:$C$31,$K24)+SUMIFS('Step 1 - Order Planner'!J$36:J$64,'Step 1 - Order Planner'!$C$36:$C$64,$K24)</f>
        <v>0</v>
      </c>
      <c r="G24" s="60">
        <f>IF(OR($C$16=0,$C$17=0),"Please Enter Acreage",IF(C24="Greens",F24/$C$17,IF(C24="Fairways",F24/$C$16,0)))</f>
        <v>0</v>
      </c>
      <c r="H24" s="60">
        <f>SUMIFS('Step 1 - Order Planner'!K$26:K$31,'Step 1 - Order Planner'!$C$26:$C$31,$K24)+SUMIFS('Step 1 - Order Planner'!K$36:K$64,'Step 1 - Order Planner'!$C$36:$C$64,$K24)</f>
        <v>0</v>
      </c>
      <c r="I24" s="60">
        <f t="shared" si="1"/>
        <v>0</v>
      </c>
      <c r="K24" s="20">
        <v>59012825</v>
      </c>
      <c r="L24" s="52"/>
    </row>
    <row r="25" spans="1:13" x14ac:dyDescent="0.2">
      <c r="A25" s="276" t="s">
        <v>27</v>
      </c>
      <c r="B25" s="58" t="s">
        <v>5</v>
      </c>
      <c r="C25" s="59"/>
      <c r="D25" s="60">
        <f>SUMIFS('Step 1 - Order Planner'!I$26:I$31,'Step 1 - Order Planner'!$C$26:$C$31,$K25)+SUMIFS('Step 1 - Order Planner'!I$36:I$64,'Step 1 - Order Planner'!$C$36:$C$64,$K25)</f>
        <v>0</v>
      </c>
      <c r="E25" s="60">
        <f t="shared" si="0"/>
        <v>0</v>
      </c>
      <c r="F25" s="60">
        <f>SUMIFS('Step 1 - Order Planner'!J$26:J$31,'Step 1 - Order Planner'!$C$26:$C$31,$K25)+SUMIFS('Step 1 - Order Planner'!J$36:J$64,'Step 1 - Order Planner'!$C$36:$C$64,$K25)</f>
        <v>0</v>
      </c>
      <c r="G25" s="60">
        <f t="shared" ref="G25:G26" si="2">IF(OR($C$16=0,$C$17=0),"Please Enter Acreage",IF(C25="Greens",F25/$C$17,IF(C25="Fairways",F25/$C$16,0)))</f>
        <v>0</v>
      </c>
      <c r="H25" s="60">
        <f>SUMIFS('Step 1 - Order Planner'!K$26:K$31,'Step 1 - Order Planner'!$C$26:$C$31,$K25)+SUMIFS('Step 1 - Order Planner'!K$36:K$64,'Step 1 - Order Planner'!$C$36:$C$64,$K25)</f>
        <v>0</v>
      </c>
      <c r="I25" s="60">
        <f t="shared" si="1"/>
        <v>0</v>
      </c>
      <c r="K25" s="20">
        <v>59012885</v>
      </c>
      <c r="L25" s="47"/>
    </row>
    <row r="26" spans="1:13" x14ac:dyDescent="0.2">
      <c r="A26" s="276"/>
      <c r="B26" s="58" t="s">
        <v>4</v>
      </c>
      <c r="C26" s="59"/>
      <c r="D26" s="60">
        <f>SUMIFS('Step 1 - Order Planner'!I$26:I$31,'Step 1 - Order Planner'!$C$26:$C$31,$K26)+SUMIFS('Step 1 - Order Planner'!I$36:I$64,'Step 1 - Order Planner'!$C$36:$C$64,$K26)</f>
        <v>0</v>
      </c>
      <c r="E26" s="60">
        <f t="shared" si="0"/>
        <v>0</v>
      </c>
      <c r="F26" s="60">
        <f>SUMIFS('Step 1 - Order Planner'!J$26:J$31,'Step 1 - Order Planner'!$C$26:$C$31,$K26)+SUMIFS('Step 1 - Order Planner'!J$36:J$64,'Step 1 - Order Planner'!$C$36:$C$64,$K26)</f>
        <v>0</v>
      </c>
      <c r="G26" s="60">
        <f t="shared" si="2"/>
        <v>0</v>
      </c>
      <c r="H26" s="60">
        <f>SUMIFS('Step 1 - Order Planner'!K$26:K$31,'Step 1 - Order Planner'!$C$26:$C$31,$K26)+SUMIFS('Step 1 - Order Planner'!K$36:K$64,'Step 1 - Order Planner'!$C$36:$C$64,$K26)</f>
        <v>0</v>
      </c>
      <c r="I26" s="60">
        <f t="shared" si="1"/>
        <v>0</v>
      </c>
      <c r="K26" s="20">
        <v>59012350</v>
      </c>
      <c r="L26" s="47"/>
    </row>
    <row r="27" spans="1:13" x14ac:dyDescent="0.2">
      <c r="A27" s="276" t="s">
        <v>28</v>
      </c>
      <c r="B27" s="58" t="s">
        <v>24</v>
      </c>
      <c r="C27" s="59"/>
      <c r="D27" s="60">
        <f>SUMIFS('Step 1 - Order Planner'!I$26:I$31,'Step 1 - Order Planner'!$C$26:$C$31,$K27)+SUMIFS('Step 1 - Order Planner'!I$36:I$64,'Step 1 - Order Planner'!$C$36:$C$64,$K27)</f>
        <v>0</v>
      </c>
      <c r="E27" s="60">
        <f t="shared" si="0"/>
        <v>0</v>
      </c>
      <c r="F27" s="60">
        <f>SUMIFS('Step 1 - Order Planner'!J$26:J$31,'Step 1 - Order Planner'!$C$26:$C$31,$K27)+SUMIFS('Step 1 - Order Planner'!J$36:J$64,'Step 1 - Order Planner'!$C$36:$C$64,$K27)</f>
        <v>0</v>
      </c>
      <c r="G27" s="60">
        <f t="shared" ref="G27:G30" si="3">IF(OR($C$16=0,$C$17=0),"Please Enter Acreage",IF(C27="Greens",F27/$C$17,IF(C27="Fairways",F27/$C$16,0)))</f>
        <v>0</v>
      </c>
      <c r="H27" s="60">
        <f>SUMIFS('Step 1 - Order Planner'!K$26:K$31,'Step 1 - Order Planner'!$C$26:$C$31,$K27)+SUMIFS('Step 1 - Order Planner'!K$36:K$64,'Step 1 - Order Planner'!$C$36:$C$64,$K27)</f>
        <v>0</v>
      </c>
      <c r="I27" s="60">
        <f t="shared" si="1"/>
        <v>0</v>
      </c>
      <c r="K27" s="20">
        <v>59014135</v>
      </c>
      <c r="L27" s="47"/>
    </row>
    <row r="28" spans="1:13" x14ac:dyDescent="0.2">
      <c r="A28" s="276"/>
      <c r="B28" s="58" t="s">
        <v>29</v>
      </c>
      <c r="C28" s="59"/>
      <c r="D28" s="60">
        <f>SUMIFS('Step 1 - Order Planner'!I$26:I$31,'Step 1 - Order Planner'!$C$26:$C$31,$K28)+SUMIFS('Step 1 - Order Planner'!I$36:I$64,'Step 1 - Order Planner'!$C$36:$C$64,$K28)</f>
        <v>0</v>
      </c>
      <c r="E28" s="60">
        <f t="shared" si="0"/>
        <v>0</v>
      </c>
      <c r="F28" s="60">
        <f>SUMIFS('Step 1 - Order Planner'!J$26:J$31,'Step 1 - Order Planner'!$C$26:$C$31,$K28)+SUMIFS('Step 1 - Order Planner'!J$36:J$64,'Step 1 - Order Planner'!$C$36:$C$64,$K28)</f>
        <v>0</v>
      </c>
      <c r="G28" s="60">
        <f t="shared" ref="G28:G29" si="4">IF(OR($C$16=0,$C$17=0),"Please Enter Acreage",IF(C28="Greens",F28/$C$17,IF(C28="Fairways",F28/$C$16,0)))</f>
        <v>0</v>
      </c>
      <c r="H28" s="60">
        <f>SUMIFS('Step 1 - Order Planner'!K$26:K$31,'Step 1 - Order Planner'!$C$26:$C$31,$K28)+SUMIFS('Step 1 - Order Planner'!K$36:K$64,'Step 1 - Order Planner'!$C$36:$C$64,$K28)</f>
        <v>0</v>
      </c>
      <c r="I28" s="60">
        <f t="shared" ref="I28:I29" si="5">IF(OR($C$16=0,$C$17=0),"Please Enter Acreage",IF(C28="Greens",H28/$C$17,IF(C28="Fairways",H28/$C$16,0)))</f>
        <v>0</v>
      </c>
      <c r="K28" s="20">
        <v>59014134</v>
      </c>
      <c r="L28" s="47"/>
    </row>
    <row r="29" spans="1:13" x14ac:dyDescent="0.2">
      <c r="A29" s="83" t="s">
        <v>25</v>
      </c>
      <c r="B29" s="58" t="s">
        <v>26</v>
      </c>
      <c r="C29" s="59"/>
      <c r="D29" s="60">
        <f>SUMIFS('Step 1 - Order Planner'!I$26:I$31,'Step 1 - Order Planner'!$C$26:$C$31,$K29)+SUMIFS('Step 1 - Order Planner'!I$36:I$64,'Step 1 - Order Planner'!$C$36:$C$64,$K29)</f>
        <v>0</v>
      </c>
      <c r="E29" s="60">
        <f t="shared" si="0"/>
        <v>0</v>
      </c>
      <c r="F29" s="60">
        <f>SUMIFS('Step 1 - Order Planner'!J$26:J$31,'Step 1 - Order Planner'!$C$26:$C$31,$K29)+SUMIFS('Step 1 - Order Planner'!J$36:J$64,'Step 1 - Order Planner'!$C$36:$C$64,$K29)</f>
        <v>0</v>
      </c>
      <c r="G29" s="60">
        <f t="shared" si="4"/>
        <v>0</v>
      </c>
      <c r="H29" s="60">
        <f>SUMIFS('Step 1 - Order Planner'!K$26:K$31,'Step 1 - Order Planner'!$C$26:$C$31,$K29)+SUMIFS('Step 1 - Order Planner'!K$36:K$64,'Step 1 - Order Planner'!$C$36:$C$64,$K29)</f>
        <v>0</v>
      </c>
      <c r="I29" s="60">
        <f t="shared" si="5"/>
        <v>0</v>
      </c>
      <c r="K29" s="20">
        <v>59013840</v>
      </c>
      <c r="L29" s="47"/>
    </row>
    <row r="30" spans="1:13" x14ac:dyDescent="0.2">
      <c r="A30" s="276" t="s">
        <v>104</v>
      </c>
      <c r="B30" s="58" t="s">
        <v>97</v>
      </c>
      <c r="C30" s="59"/>
      <c r="D30" s="60">
        <f>SUMIFS('Step 1 - Order Planner'!I$26:I$31,'Step 1 - Order Planner'!$C$26:$C$31,$K30)+SUMIFS('Step 1 - Order Planner'!I$36:I$64,'Step 1 - Order Planner'!$C$36:$C$64,$K30)</f>
        <v>0</v>
      </c>
      <c r="E30" s="60">
        <f t="shared" si="0"/>
        <v>0</v>
      </c>
      <c r="F30" s="60">
        <f>SUMIFS('Step 1 - Order Planner'!J$26:J$31,'Step 1 - Order Planner'!$C$26:$C$31,$K30)+SUMIFS('Step 1 - Order Planner'!J$36:J$64,'Step 1 - Order Planner'!$C$36:$C$64,$K30)</f>
        <v>0</v>
      </c>
      <c r="G30" s="60">
        <f t="shared" si="3"/>
        <v>0</v>
      </c>
      <c r="H30" s="60">
        <f>SUMIFS('Step 1 - Order Planner'!K$26:K$31,'Step 1 - Order Planner'!$C$26:$C$31,$K30)+SUMIFS('Step 1 - Order Planner'!K$36:K$64,'Step 1 - Order Planner'!$C$36:$C$64,$K30)</f>
        <v>0</v>
      </c>
      <c r="I30" s="60">
        <f t="shared" si="1"/>
        <v>0</v>
      </c>
      <c r="K30" s="20">
        <v>59018087</v>
      </c>
      <c r="L30" s="47"/>
    </row>
    <row r="31" spans="1:13" x14ac:dyDescent="0.2">
      <c r="A31" s="276"/>
      <c r="B31" s="58" t="s">
        <v>81</v>
      </c>
      <c r="C31" s="59"/>
      <c r="D31" s="60">
        <f>SUMIFS('Step 1 - Order Planner'!I$26:I$31,'Step 1 - Order Planner'!$C$26:$C$31,$K31)+SUMIFS('Step 1 - Order Planner'!I$36:I$64,'Step 1 - Order Planner'!$C$36:$C$64,$K31)</f>
        <v>0</v>
      </c>
      <c r="E31" s="60">
        <f t="shared" si="0"/>
        <v>0</v>
      </c>
      <c r="F31" s="60">
        <f>SUMIFS('Step 1 - Order Planner'!J$26:J$31,'Step 1 - Order Planner'!$C$26:$C$31,$K31)+SUMIFS('Step 1 - Order Planner'!J$36:J$64,'Step 1 - Order Planner'!$C$36:$C$64,$K31)</f>
        <v>0</v>
      </c>
      <c r="G31" s="60">
        <f t="shared" ref="G31:G33" si="6">IF(OR($C$16=0,$C$17=0),"Please Enter Acreage",IF(C31="Greens",F31/$C$17,IF(C31="Fairways",F31/$C$16,0)))</f>
        <v>0</v>
      </c>
      <c r="H31" s="60">
        <f>SUMIFS('Step 1 - Order Planner'!K$26:K$31,'Step 1 - Order Planner'!$C$26:$C$31,$K31)+SUMIFS('Step 1 - Order Planner'!K$36:K$64,'Step 1 - Order Planner'!$C$36:$C$64,$K31)</f>
        <v>0</v>
      </c>
      <c r="I31" s="60">
        <f t="shared" si="1"/>
        <v>0</v>
      </c>
      <c r="K31" s="20">
        <v>59018071</v>
      </c>
      <c r="L31" s="56"/>
    </row>
    <row r="32" spans="1:13" x14ac:dyDescent="0.2">
      <c r="A32" s="276" t="s">
        <v>105</v>
      </c>
      <c r="B32" s="58" t="s">
        <v>98</v>
      </c>
      <c r="C32" s="59"/>
      <c r="D32" s="60">
        <f>SUMIFS('Step 1 - Order Planner'!I$26:I$31,'Step 1 - Order Planner'!$C$26:$C$31,$K32)+SUMIFS('Step 1 - Order Planner'!I$36:I$64,'Step 1 - Order Planner'!$C$36:$C$64,$K32)</f>
        <v>0</v>
      </c>
      <c r="E32" s="60">
        <f t="shared" si="0"/>
        <v>0</v>
      </c>
      <c r="F32" s="60">
        <f>SUMIFS('Step 1 - Order Planner'!J$26:J$31,'Step 1 - Order Planner'!$C$26:$C$31,$K32)+SUMIFS('Step 1 - Order Planner'!J$36:J$64,'Step 1 - Order Planner'!$C$36:$C$64,$K32)</f>
        <v>0</v>
      </c>
      <c r="G32" s="60">
        <f t="shared" si="6"/>
        <v>0</v>
      </c>
      <c r="H32" s="60">
        <f>SUMIFS('Step 1 - Order Planner'!K$26:K$31,'Step 1 - Order Planner'!$C$26:$C$31,$K32)+SUMIFS('Step 1 - Order Planner'!K$36:K$64,'Step 1 - Order Planner'!$C$36:$C$64,$K32)</f>
        <v>0</v>
      </c>
      <c r="I32" s="60">
        <f t="shared" si="1"/>
        <v>0</v>
      </c>
      <c r="K32" s="20">
        <v>59018094</v>
      </c>
      <c r="L32" s="56"/>
    </row>
    <row r="33" spans="1:12" x14ac:dyDescent="0.2">
      <c r="A33" s="276"/>
      <c r="B33" s="58" t="s">
        <v>30</v>
      </c>
      <c r="C33" s="59"/>
      <c r="D33" s="60">
        <f>SUMIFS('Step 1 - Order Planner'!I$26:I$31,'Step 1 - Order Planner'!$C$26:$C$31,$K33)+SUMIFS('Step 1 - Order Planner'!I$36:I$64,'Step 1 - Order Planner'!$C$36:$C$64,$K33)</f>
        <v>0</v>
      </c>
      <c r="E33" s="60">
        <f t="shared" si="0"/>
        <v>0</v>
      </c>
      <c r="F33" s="60">
        <f>SUMIFS('Step 1 - Order Planner'!J$26:J$31,'Step 1 - Order Planner'!$C$26:$C$31,$K33)+SUMIFS('Step 1 - Order Planner'!J$36:J$64,'Step 1 - Order Planner'!$C$36:$C$64,$K33)</f>
        <v>0</v>
      </c>
      <c r="G33" s="60">
        <f t="shared" si="6"/>
        <v>0</v>
      </c>
      <c r="H33" s="60">
        <f>SUMIFS('Step 1 - Order Planner'!K$26:K$31,'Step 1 - Order Planner'!$C$26:$C$31,$K33)+SUMIFS('Step 1 - Order Planner'!K$36:K$64,'Step 1 - Order Planner'!$C$36:$C$64,$K33)</f>
        <v>0</v>
      </c>
      <c r="I33" s="60">
        <f t="shared" si="1"/>
        <v>0</v>
      </c>
      <c r="K33" s="20">
        <v>59018095</v>
      </c>
      <c r="L33" s="56"/>
    </row>
    <row r="34" spans="1:12" x14ac:dyDescent="0.2">
      <c r="A34" s="276" t="s">
        <v>52</v>
      </c>
      <c r="B34" s="58" t="s">
        <v>94</v>
      </c>
      <c r="C34" s="59"/>
      <c r="D34" s="60">
        <f>SUMIFS('Step 1 - Order Planner'!I$26:I$31,'Step 1 - Order Planner'!$C$26:$C$31,$K34)+SUMIFS('Step 1 - Order Planner'!I$36:I$64,'Step 1 - Order Planner'!$C$36:$C$64,$K34)</f>
        <v>0</v>
      </c>
      <c r="E34" s="60">
        <f t="shared" si="0"/>
        <v>0</v>
      </c>
      <c r="F34" s="60">
        <f>SUMIFS('Step 1 - Order Planner'!J$26:J$31,'Step 1 - Order Planner'!$C$26:$C$31,$K34)+SUMIFS('Step 1 - Order Planner'!J$36:J$64,'Step 1 - Order Planner'!$C$36:$C$64,$K34)</f>
        <v>0</v>
      </c>
      <c r="G34" s="60">
        <f t="shared" ref="G34:G37" si="7">IF(OR($C$16=0,$C$17=0),"Please Enter Acreage",IF(C34="Greens",F34/$C$17,IF(C34="Fairways",F34/$C$16,0)))</f>
        <v>0</v>
      </c>
      <c r="H34" s="60">
        <f>SUMIFS('Step 1 - Order Planner'!K$26:K$31,'Step 1 - Order Planner'!$C$26:$C$31,$K34)+SUMIFS('Step 1 - Order Planner'!K$36:K$64,'Step 1 - Order Planner'!$C$36:$C$64,$K34)</f>
        <v>0</v>
      </c>
      <c r="I34" s="60">
        <f t="shared" si="1"/>
        <v>0</v>
      </c>
      <c r="K34" s="20">
        <v>59017959</v>
      </c>
      <c r="L34" s="53"/>
    </row>
    <row r="35" spans="1:12" x14ac:dyDescent="0.2">
      <c r="A35" s="276"/>
      <c r="B35" s="58" t="s">
        <v>53</v>
      </c>
      <c r="C35" s="59"/>
      <c r="D35" s="60">
        <f>SUMIFS('Step 1 - Order Planner'!I$26:I$31,'Step 1 - Order Planner'!$C$26:$C$31,$K35)+SUMIFS('Step 1 - Order Planner'!I$36:I$64,'Step 1 - Order Planner'!$C$36:$C$64,$K35)</f>
        <v>0</v>
      </c>
      <c r="E35" s="60">
        <f t="shared" si="0"/>
        <v>0</v>
      </c>
      <c r="F35" s="60">
        <f>SUMIFS('Step 1 - Order Planner'!J$26:J$31,'Step 1 - Order Planner'!$C$26:$C$31,$K35)+SUMIFS('Step 1 - Order Planner'!J$36:J$64,'Step 1 - Order Planner'!$C$36:$C$64,$K35)</f>
        <v>0</v>
      </c>
      <c r="G35" s="60">
        <f t="shared" si="7"/>
        <v>0</v>
      </c>
      <c r="H35" s="60">
        <f>SUMIFS('Step 1 - Order Planner'!K$26:K$31,'Step 1 - Order Planner'!$C$26:$C$31,$K35)+SUMIFS('Step 1 - Order Planner'!K$36:K$64,'Step 1 - Order Planner'!$C$36:$C$64,$K35)</f>
        <v>0</v>
      </c>
      <c r="I35" s="60">
        <f t="shared" si="1"/>
        <v>0</v>
      </c>
      <c r="K35" s="20">
        <v>59012784</v>
      </c>
      <c r="L35" s="47"/>
    </row>
    <row r="36" spans="1:12" x14ac:dyDescent="0.2">
      <c r="A36" s="276" t="s">
        <v>19</v>
      </c>
      <c r="B36" s="58" t="s">
        <v>20</v>
      </c>
      <c r="C36" s="59"/>
      <c r="D36" s="60">
        <f>SUMIFS('Step 1 - Order Planner'!I$26:I$31,'Step 1 - Order Planner'!$C$26:$C$31,$K36)+SUMIFS('Step 1 - Order Planner'!I$36:I$64,'Step 1 - Order Planner'!$C$36:$C$64,$K36)</f>
        <v>0</v>
      </c>
      <c r="E36" s="60">
        <f>IF(OR($C$16=0,$C$17=0),"Please Enter Acreage",IF(C36="Greens",D36/$C$17,IF(C36="Fairways",D36/$C$16,0)))</f>
        <v>0</v>
      </c>
      <c r="F36" s="60">
        <f>SUMIFS('Step 1 - Order Planner'!J$26:J$31,'Step 1 - Order Planner'!$C$26:$C$31,$K36)+SUMIFS('Step 1 - Order Planner'!J$36:J$64,'Step 1 - Order Planner'!$C$36:$C$64,$K36)</f>
        <v>0</v>
      </c>
      <c r="G36" s="60">
        <f t="shared" ref="G36" si="8">IF(OR($C$16=0,$C$17=0),"Please Enter Acreage",IF(C36="Greens",F36/$C$17,IF(C36="Fairways",F36/$C$16,0)))</f>
        <v>0</v>
      </c>
      <c r="H36" s="60">
        <f>SUMIFS('Step 1 - Order Planner'!K$26:K$31,'Step 1 - Order Planner'!$C$26:$C$31,$K36)+SUMIFS('Step 1 - Order Planner'!K$36:K$64,'Step 1 - Order Planner'!$C$36:$C$64,$K36)</f>
        <v>0</v>
      </c>
      <c r="I36" s="60">
        <f t="shared" ref="I36" si="9">IF(OR($C$16=0,$C$17=0),"Please Enter Acreage",IF(C36="Greens",H36/$C$17,IF(C36="Fairways",H36/$C$16,0)))</f>
        <v>0</v>
      </c>
      <c r="K36" s="20">
        <v>59013833</v>
      </c>
      <c r="L36" s="47"/>
    </row>
    <row r="37" spans="1:12" x14ac:dyDescent="0.2">
      <c r="A37" s="276"/>
      <c r="B37" s="58" t="s">
        <v>9</v>
      </c>
      <c r="C37" s="59"/>
      <c r="D37" s="60">
        <f>SUMIFS('Step 1 - Order Planner'!I$26:I$31,'Step 1 - Order Planner'!$C$26:$C$31,$K37)+SUMIFS('Step 1 - Order Planner'!I$36:I$64,'Step 1 - Order Planner'!$C$36:$C$64,$K37)</f>
        <v>0</v>
      </c>
      <c r="E37" s="60">
        <f t="shared" si="0"/>
        <v>0</v>
      </c>
      <c r="F37" s="60">
        <f>SUMIFS('Step 1 - Order Planner'!J$26:J$31,'Step 1 - Order Planner'!$C$26:$C$31,$K37)+SUMIFS('Step 1 - Order Planner'!J$36:J$64,'Step 1 - Order Planner'!$C$36:$C$64,$K37)</f>
        <v>0</v>
      </c>
      <c r="G37" s="60">
        <f t="shared" si="7"/>
        <v>0</v>
      </c>
      <c r="H37" s="60">
        <f>SUMIFS('Step 1 - Order Planner'!K$26:K$31,'Step 1 - Order Planner'!$C$26:$C$31,$K37)+SUMIFS('Step 1 - Order Planner'!K$36:K$64,'Step 1 - Order Planner'!$C$36:$C$64,$K37)</f>
        <v>0</v>
      </c>
      <c r="I37" s="60">
        <f t="shared" si="1"/>
        <v>0</v>
      </c>
      <c r="K37" s="20">
        <v>59014120</v>
      </c>
      <c r="L37" s="53"/>
    </row>
    <row r="40" spans="1:12" ht="12.75" customHeight="1" x14ac:dyDescent="0.2">
      <c r="A40" s="258" t="s">
        <v>101</v>
      </c>
      <c r="B40" s="258"/>
      <c r="C40" s="258"/>
      <c r="D40" s="258"/>
      <c r="E40" s="258"/>
      <c r="F40" s="258"/>
      <c r="G40" s="258"/>
      <c r="H40" s="258"/>
      <c r="I40" s="258"/>
    </row>
    <row r="41" spans="1:12" x14ac:dyDescent="0.2">
      <c r="A41" s="258"/>
      <c r="B41" s="258"/>
      <c r="C41" s="258"/>
      <c r="D41" s="258"/>
      <c r="E41" s="258"/>
      <c r="F41" s="258"/>
      <c r="G41" s="258"/>
      <c r="H41" s="258"/>
      <c r="I41" s="258"/>
    </row>
    <row r="42" spans="1:12" x14ac:dyDescent="0.2">
      <c r="A42" s="258"/>
      <c r="B42" s="258"/>
      <c r="C42" s="258"/>
      <c r="D42" s="258"/>
      <c r="E42" s="258"/>
      <c r="F42" s="258"/>
      <c r="G42" s="258"/>
      <c r="H42" s="258"/>
      <c r="I42" s="258"/>
    </row>
    <row r="43" spans="1:12" x14ac:dyDescent="0.2">
      <c r="A43" s="258"/>
      <c r="B43" s="258"/>
      <c r="C43" s="258"/>
      <c r="D43" s="258"/>
      <c r="E43" s="258"/>
      <c r="F43" s="258"/>
      <c r="G43" s="258"/>
      <c r="H43" s="258"/>
      <c r="I43" s="258"/>
    </row>
    <row r="44" spans="1:12" x14ac:dyDescent="0.2">
      <c r="A44" s="258"/>
      <c r="B44" s="258"/>
      <c r="C44" s="258"/>
      <c r="D44" s="258"/>
      <c r="E44" s="258"/>
      <c r="F44" s="258"/>
      <c r="G44" s="258"/>
      <c r="H44" s="258"/>
      <c r="I44" s="258"/>
    </row>
    <row r="45" spans="1:12" x14ac:dyDescent="0.2">
      <c r="A45" s="258"/>
      <c r="B45" s="258"/>
      <c r="C45" s="258"/>
      <c r="D45" s="258"/>
      <c r="E45" s="258"/>
      <c r="F45" s="258"/>
      <c r="G45" s="258"/>
      <c r="H45" s="258"/>
      <c r="I45" s="258"/>
    </row>
    <row r="46" spans="1:12" x14ac:dyDescent="0.2">
      <c r="A46" s="258"/>
      <c r="B46" s="258"/>
      <c r="C46" s="258"/>
      <c r="D46" s="258"/>
      <c r="E46" s="258"/>
      <c r="F46" s="258"/>
      <c r="G46" s="258"/>
      <c r="H46" s="258"/>
      <c r="I46" s="258"/>
    </row>
    <row r="47" spans="1:12" x14ac:dyDescent="0.2">
      <c r="A47" s="258"/>
      <c r="B47" s="258"/>
      <c r="C47" s="258"/>
      <c r="D47" s="258"/>
      <c r="E47" s="258"/>
      <c r="F47" s="258"/>
      <c r="G47" s="258"/>
      <c r="H47" s="258"/>
      <c r="I47" s="258"/>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17:B17"/>
    <mergeCell ref="A16:B16"/>
    <mergeCell ref="H21:I21"/>
    <mergeCell ref="F21:G21"/>
    <mergeCell ref="D21:E21"/>
    <mergeCell ref="A20:I20"/>
    <mergeCell ref="A40:I47"/>
    <mergeCell ref="A23:A24"/>
    <mergeCell ref="C21:C22"/>
    <mergeCell ref="A25:A26"/>
    <mergeCell ref="A21:A22"/>
    <mergeCell ref="B21:B22"/>
    <mergeCell ref="A36:A37"/>
    <mergeCell ref="A34:A35"/>
    <mergeCell ref="A32:A33"/>
    <mergeCell ref="A30:A31"/>
    <mergeCell ref="A27:A28"/>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3:G72"/>
  <sheetViews>
    <sheetView showGridLines="0" zoomScaleNormal="100" workbookViewId="0">
      <selection activeCell="F22" sqref="F22:F23"/>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3" spans="1:6" x14ac:dyDescent="0.2">
      <c r="A13" s="285" t="s">
        <v>242</v>
      </c>
      <c r="B13" s="285"/>
      <c r="C13" s="285"/>
      <c r="D13" s="285"/>
      <c r="E13" s="285"/>
      <c r="F13" s="285"/>
    </row>
    <row r="14" spans="1:6" x14ac:dyDescent="0.2">
      <c r="A14" s="285"/>
      <c r="B14" s="285"/>
      <c r="C14" s="285"/>
      <c r="D14" s="285"/>
      <c r="E14" s="285"/>
      <c r="F14" s="285"/>
    </row>
    <row r="15" spans="1:6" ht="25.5" x14ac:dyDescent="0.35">
      <c r="A15" s="23">
        <f ca="1">NOW()</f>
        <v>46220.468936111109</v>
      </c>
      <c r="D15" s="161" t="s">
        <v>68</v>
      </c>
      <c r="E15" s="162"/>
      <c r="F15" s="163"/>
    </row>
    <row r="16" spans="1:6" s="27" customFormat="1" ht="25.5" x14ac:dyDescent="0.35">
      <c r="A16" s="25" t="s">
        <v>60</v>
      </c>
      <c r="B16" s="25" t="s">
        <v>61</v>
      </c>
      <c r="C16" s="26"/>
      <c r="D16" s="289" t="s">
        <v>72</v>
      </c>
      <c r="E16" s="289"/>
      <c r="F16" s="164">
        <f>'Step 1 - Order Planner'!G21</f>
        <v>0</v>
      </c>
    </row>
    <row r="17" spans="1:7" s="28" customFormat="1" ht="15.75" x14ac:dyDescent="0.25">
      <c r="A17" s="28" t="s">
        <v>63</v>
      </c>
      <c r="B17" s="28" t="s">
        <v>70</v>
      </c>
      <c r="C17" s="29"/>
      <c r="D17" s="290" t="s">
        <v>197</v>
      </c>
      <c r="E17" s="290"/>
      <c r="F17" s="165">
        <f>'Step 1 - Order Planner'!B20</f>
        <v>0</v>
      </c>
      <c r="G17" s="30"/>
    </row>
    <row r="18" spans="1:7" s="28" customFormat="1" ht="15.75" x14ac:dyDescent="0.25">
      <c r="A18" s="28" t="s">
        <v>64</v>
      </c>
      <c r="B18" s="28" t="s">
        <v>64</v>
      </c>
      <c r="C18" s="29"/>
      <c r="D18" s="290" t="s">
        <v>243</v>
      </c>
      <c r="E18" s="290"/>
      <c r="F18" s="165">
        <f>'Step 1 - Order Planner'!B21</f>
        <v>0</v>
      </c>
      <c r="G18" s="30"/>
    </row>
    <row r="19" spans="1:7" s="28" customFormat="1" ht="15" x14ac:dyDescent="0.2">
      <c r="A19" s="28" t="s">
        <v>65</v>
      </c>
      <c r="B19" s="28" t="s">
        <v>65</v>
      </c>
      <c r="C19" s="29"/>
      <c r="D19" s="291" t="str">
        <f>'Step 1 - Order Planner'!A23</f>
        <v>Tower® Power Kicker Rebate</v>
      </c>
      <c r="E19" s="291"/>
      <c r="F19" s="166">
        <f>'Step 1 - Order Planner'!B23</f>
        <v>0</v>
      </c>
    </row>
    <row r="20" spans="1:7" s="28" customFormat="1" ht="15" customHeight="1" x14ac:dyDescent="0.2">
      <c r="A20" s="28" t="s">
        <v>66</v>
      </c>
      <c r="B20" s="28" t="s">
        <v>66</v>
      </c>
      <c r="C20" s="29"/>
      <c r="D20" s="294" t="s">
        <v>237</v>
      </c>
      <c r="E20" s="294"/>
      <c r="F20" s="293">
        <f>'Step 1 - Order Planner'!G22</f>
        <v>0</v>
      </c>
    </row>
    <row r="21" spans="1:7" s="28" customFormat="1" ht="15" customHeight="1" x14ac:dyDescent="0.2">
      <c r="A21" s="28" t="s">
        <v>67</v>
      </c>
      <c r="B21" s="28" t="s">
        <v>67</v>
      </c>
      <c r="C21" s="29"/>
      <c r="D21" s="294"/>
      <c r="E21" s="294"/>
      <c r="F21" s="293"/>
      <c r="G21" s="176"/>
    </row>
    <row r="22" spans="1:7" ht="18" customHeight="1" x14ac:dyDescent="0.2">
      <c r="C22" s="31"/>
      <c r="D22" s="292" t="s">
        <v>71</v>
      </c>
      <c r="E22" s="292"/>
      <c r="F22" s="292">
        <f>'Step 1 - Order Planner'!G23</f>
        <v>0</v>
      </c>
    </row>
    <row r="23" spans="1:7" ht="12.75" customHeight="1" x14ac:dyDescent="0.2">
      <c r="C23" s="160"/>
      <c r="D23" s="292"/>
      <c r="E23" s="292"/>
      <c r="F23" s="292"/>
    </row>
    <row r="24" spans="1:7" s="35" customFormat="1" ht="20.25" x14ac:dyDescent="0.3">
      <c r="A24" s="32" t="s">
        <v>59</v>
      </c>
      <c r="B24" s="33"/>
      <c r="C24" s="160"/>
      <c r="D24" s="160"/>
      <c r="E24" s="34"/>
    </row>
    <row r="25" spans="1:7" x14ac:dyDescent="0.2">
      <c r="C25" s="31"/>
      <c r="E25" s="31"/>
    </row>
    <row r="26" spans="1:7" s="28" customFormat="1" ht="27" customHeight="1" x14ac:dyDescent="0.2">
      <c r="A26" s="129" t="s">
        <v>100</v>
      </c>
      <c r="B26" s="129" t="s">
        <v>0</v>
      </c>
      <c r="C26" s="130" t="s">
        <v>69</v>
      </c>
      <c r="D26" s="129" t="s">
        <v>76</v>
      </c>
      <c r="E26" s="129" t="s">
        <v>57</v>
      </c>
      <c r="F26" s="130" t="s">
        <v>58</v>
      </c>
    </row>
    <row r="27" spans="1:7" ht="15" x14ac:dyDescent="0.2">
      <c r="A27" s="36" t="str">
        <f>VLOOKUP($C27,'Article Reference'!$A$3:$D$55,2,FALSE)</f>
        <v>Insignia® SC Intrinsic® brand fungicide</v>
      </c>
      <c r="B27" s="40" t="str">
        <f>VLOOKUP($C27,'Article Reference'!$A$3:$D$55,3,FALSE)</f>
        <v>4 x 30.5 fl oz</v>
      </c>
      <c r="C27" s="40">
        <v>4059028038</v>
      </c>
      <c r="D27" s="37">
        <f>VLOOKUP($C27,'Article Reference'!$A$3:$E$55,5,FALSE)</f>
        <v>2498.56</v>
      </c>
      <c r="E27" s="38">
        <f>VLOOKUP(C27,'Step 1 - Order Planner'!$C$26:$E$65,3,FALSE)+VLOOKUP(C27,'Step 1 - Order Planner'!$C$26:$G$65,5,FALSE)</f>
        <v>0</v>
      </c>
      <c r="F27" s="39">
        <f t="shared" ref="F27:F58" si="0">E27*D27</f>
        <v>0</v>
      </c>
    </row>
    <row r="28" spans="1:7" ht="15" x14ac:dyDescent="0.2">
      <c r="A28" s="36" t="str">
        <f>VLOOKUP($C28,'Article Reference'!$A$3:$D$55,2,FALSE)</f>
        <v>Insignia® SC Intrinsic® brand fungicide</v>
      </c>
      <c r="B28" s="40" t="str">
        <f>VLOOKUP($C28,'Article Reference'!$A$3:$D$55,3,FALSE)</f>
        <v>2 x 2.5 gal</v>
      </c>
      <c r="C28" s="40">
        <v>4059028040</v>
      </c>
      <c r="D28" s="37">
        <f>VLOOKUP($C28,'Article Reference'!$A$3:$E$55,5,FALSE)</f>
        <v>8129.66</v>
      </c>
      <c r="E28" s="38">
        <f>VLOOKUP(C28,'Step 1 - Order Planner'!$C$26:$E$65,3,FALSE)+VLOOKUP(C28,'Step 1 - Order Planner'!$C$26:$G$65,5,FALSE)</f>
        <v>0</v>
      </c>
      <c r="F28" s="39">
        <f t="shared" si="0"/>
        <v>0</v>
      </c>
    </row>
    <row r="29" spans="1:7" ht="15" x14ac:dyDescent="0.2">
      <c r="A29" s="36" t="str">
        <f>VLOOKUP($C29,'Article Reference'!$A$3:$D$55,2,FALSE)</f>
        <v>Lexicon® Intrinsic® brand fungicide</v>
      </c>
      <c r="B29" s="40" t="str">
        <f>VLOOKUP($C29,'Article Reference'!$A$3:$D$55,3,FALSE)</f>
        <v>4 x 21 oz</v>
      </c>
      <c r="C29" s="40">
        <v>4059027998</v>
      </c>
      <c r="D29" s="37">
        <f>VLOOKUP($C29,'Article Reference'!$A$3:$E$55,5,FALSE)</f>
        <v>2713.2</v>
      </c>
      <c r="E29" s="38">
        <f>VLOOKUP(C29,'Step 1 - Order Planner'!$C$26:$E$65,3,FALSE)+VLOOKUP(C29,'Step 1 - Order Planner'!$C$26:$G$65,5,FALSE)</f>
        <v>0</v>
      </c>
      <c r="F29" s="39">
        <f t="shared" si="0"/>
        <v>0</v>
      </c>
    </row>
    <row r="30" spans="1:7" ht="15" x14ac:dyDescent="0.2">
      <c r="A30" s="36" t="str">
        <f>VLOOKUP($C30,'Article Reference'!$A$3:$D$55,2,FALSE)</f>
        <v>Pillar® SC Intrinsic brand fungicide</v>
      </c>
      <c r="B30" s="40" t="str">
        <f>VLOOKUP($C30,'Article Reference'!$A$3:$D$55,3,FALSE)</f>
        <v>4 x 435 fl oz</v>
      </c>
      <c r="C30" s="40">
        <v>4059026395</v>
      </c>
      <c r="D30" s="37">
        <f>VLOOKUP($C30,'Article Reference'!$A$3:$E$55,5,FALSE)</f>
        <v>959.16</v>
      </c>
      <c r="E30" s="38">
        <f>VLOOKUP(C30,'Step 1 - Order Planner'!$C$26:$E$65,3,FALSE)+VLOOKUP(C30,'Step 1 - Order Planner'!$C$26:$G$65,5,FALSE)</f>
        <v>0</v>
      </c>
      <c r="F30" s="39">
        <f t="shared" ref="F30:F31" si="1">E30*D30</f>
        <v>0</v>
      </c>
    </row>
    <row r="31" spans="1:7" ht="15" x14ac:dyDescent="0.2">
      <c r="A31" s="36" t="str">
        <f>VLOOKUP($C31,'Article Reference'!$A$3:$D$55,2,FALSE)</f>
        <v>Pillar® SC Intrinsic brand fungicide</v>
      </c>
      <c r="B31" s="40" t="str">
        <f>VLOOKUP($C31,'Article Reference'!$A$3:$D$55,3,FALSE)</f>
        <v>2 x 128 fl oz</v>
      </c>
      <c r="C31" s="40">
        <v>4059032585</v>
      </c>
      <c r="D31" s="37">
        <f>VLOOKUP($C31,'Article Reference'!$A$3:$E$55,5,FALSE)</f>
        <v>1270.4000000000001</v>
      </c>
      <c r="E31" s="38">
        <f>VLOOKUP(C31,'Step 1 - Order Planner'!$C$26:$E$65,3,FALSE)+VLOOKUP(C31,'Step 1 - Order Planner'!$C$26:$G$65,5,FALSE)</f>
        <v>0</v>
      </c>
      <c r="F31" s="39">
        <f t="shared" si="1"/>
        <v>0</v>
      </c>
    </row>
    <row r="32" spans="1:7" ht="15" x14ac:dyDescent="0.2">
      <c r="A32" s="36" t="str">
        <f>VLOOKUP($C32,'Article Reference'!$A$3:$D$55,2,FALSE)</f>
        <v>Xzemplar® fungicide</v>
      </c>
      <c r="B32" s="40" t="str">
        <f>VLOOKUP($C32,'Article Reference'!$A$3:$D$55,3,FALSE)</f>
        <v>4 x 11.4 oz</v>
      </c>
      <c r="C32" s="40">
        <v>4059014120</v>
      </c>
      <c r="D32" s="37">
        <f>VLOOKUP($C32,'Article Reference'!$A$3:$E$55,5,FALSE)</f>
        <v>931.16</v>
      </c>
      <c r="E32" s="38">
        <f>VLOOKUP(C32,'Step 1 - Order Planner'!$C$26:$E$65,3,FALSE)+VLOOKUP(C32,'Step 1 - Order Planner'!$C$26:$G$65,5,FALSE)</f>
        <v>0</v>
      </c>
      <c r="F32" s="39">
        <f t="shared" si="0"/>
        <v>0</v>
      </c>
    </row>
    <row r="33" spans="1:6" ht="15" x14ac:dyDescent="0.2">
      <c r="A33" s="36" t="str">
        <f>VLOOKUP($C33,'Article Reference'!$A$3:$D$55,2,FALSE)</f>
        <v>Xzemplar® fungicide</v>
      </c>
      <c r="B33" s="40" t="str">
        <f>VLOOKUP($C33,'Article Reference'!$A$3:$D$55,3,FALSE)</f>
        <v>2 x 114 oz</v>
      </c>
      <c r="C33" s="40">
        <v>4059013833</v>
      </c>
      <c r="D33" s="37">
        <f>VLOOKUP($C33,'Article Reference'!$A$3:$E$55,5,FALSE)</f>
        <v>3887.4</v>
      </c>
      <c r="E33" s="38">
        <f>VLOOKUP(C33,'Step 1 - Order Planner'!$C$26:$E$65,3,FALSE)+VLOOKUP(C33,'Step 1 - Order Planner'!$C$26:$G$65,5,FALSE)</f>
        <v>0</v>
      </c>
      <c r="F33" s="39">
        <f t="shared" si="0"/>
        <v>0</v>
      </c>
    </row>
    <row r="34" spans="1:6" ht="15.75" customHeight="1" x14ac:dyDescent="0.2">
      <c r="A34" s="286" t="s">
        <v>207</v>
      </c>
      <c r="B34" s="287"/>
      <c r="C34" s="287"/>
      <c r="D34" s="287"/>
      <c r="E34" s="288"/>
      <c r="F34" s="136">
        <f>'Step 1 - Order Planner'!G17</f>
        <v>0</v>
      </c>
    </row>
    <row r="35" spans="1:6" ht="15" x14ac:dyDescent="0.2">
      <c r="A35" s="36" t="str">
        <f>VLOOKUP($C35,'Article Reference'!$A$3:$D$55,2,FALSE)</f>
        <v>Amdro Pro Fire Ant Bait</v>
      </c>
      <c r="B35" s="40" t="str">
        <f>VLOOKUP($C35,'Article Reference'!$A$3:$D$55,3,FALSE)</f>
        <v>1 x 25lbs</v>
      </c>
      <c r="C35" s="40">
        <v>4059021451</v>
      </c>
      <c r="D35" s="37">
        <f>VLOOKUP($C35,'Article Reference'!$A$3:$E$55,5,FALSE)</f>
        <v>669.38</v>
      </c>
      <c r="E35" s="38">
        <f>VLOOKUP(C35,'Step 1 - Order Planner'!$C$26:$E$65,3,FALSE)+VLOOKUP(C35,'Step 1 - Order Planner'!$C$26:$G$65,5,FALSE)</f>
        <v>0</v>
      </c>
      <c r="F35" s="39">
        <f t="shared" ref="F35" si="2">E35*D35</f>
        <v>0</v>
      </c>
    </row>
    <row r="36" spans="1:6" ht="15" x14ac:dyDescent="0.2">
      <c r="A36" s="36" t="str">
        <f>VLOOKUP($C36,'Article Reference'!$A$3:$D$55,2,FALSE)</f>
        <v>Siesta® Fire Ant Bait</v>
      </c>
      <c r="B36" s="40" t="str">
        <f>VLOOKUP($C36,'Article Reference'!$A$3:$D$55,3,FALSE)</f>
        <v>15 lbs</v>
      </c>
      <c r="C36" s="40">
        <v>4059011057</v>
      </c>
      <c r="D36" s="37">
        <f>VLOOKUP($C36,'Article Reference'!$A$3:$E$55,5,FALSE)</f>
        <v>334.69</v>
      </c>
      <c r="E36" s="38">
        <f>VLOOKUP(C36,'Step 1 - Order Planner'!$C$26:$E$65,3,FALSE)+VLOOKUP(C36,'Step 1 - Order Planner'!$C$26:$G$65,5,FALSE)</f>
        <v>0</v>
      </c>
      <c r="F36" s="39">
        <f t="shared" si="0"/>
        <v>0</v>
      </c>
    </row>
    <row r="37" spans="1:6" ht="15" x14ac:dyDescent="0.2">
      <c r="A37" s="36" t="str">
        <f>VLOOKUP($C37,'Article Reference'!$A$3:$D$55,2,FALSE)</f>
        <v>Sultan® miticide</v>
      </c>
      <c r="B37" s="40" t="str">
        <f>VLOOKUP($C37,'Article Reference'!$A$3:$D$55,3,FALSE)</f>
        <v>4 x 0.125 gal</v>
      </c>
      <c r="C37" s="40">
        <v>4059023753</v>
      </c>
      <c r="D37" s="37">
        <f>VLOOKUP($C37,'Article Reference'!$A$3:$E$55,5,FALSE)</f>
        <v>798.28</v>
      </c>
      <c r="E37" s="38">
        <f>VLOOKUP(C37,'Step 1 - Order Planner'!$C$26:$E$65,3,FALSE)+VLOOKUP(C37,'Step 1 - Order Planner'!$C$26:$G$65,5,FALSE)</f>
        <v>0</v>
      </c>
      <c r="F37" s="39">
        <f t="shared" si="0"/>
        <v>0</v>
      </c>
    </row>
    <row r="38" spans="1:6" ht="15" x14ac:dyDescent="0.2">
      <c r="A38" s="36" t="str">
        <f>VLOOKUP($C38,'Article Reference'!$A$3:$D$55,2,FALSE)</f>
        <v>Ventigra® insecticide</v>
      </c>
      <c r="B38" s="40" t="str">
        <f>VLOOKUP($C38,'Article Reference'!$A$3:$D$55,3,FALSE)</f>
        <v>4 x 20 oz</v>
      </c>
      <c r="C38" s="40">
        <v>4059014680</v>
      </c>
      <c r="D38" s="37">
        <f>VLOOKUP($C38,'Article Reference'!$A$3:$E$55,5,FALSE)</f>
        <v>1485.6</v>
      </c>
      <c r="E38" s="38">
        <f>VLOOKUP(C38,'Step 1 - Order Planner'!$C$26:$E$65,3,FALSE)+VLOOKUP(C38,'Step 1 - Order Planner'!$C$26:$G$65,5,FALSE)</f>
        <v>0</v>
      </c>
      <c r="F38" s="39">
        <f t="shared" si="0"/>
        <v>0</v>
      </c>
    </row>
    <row r="39" spans="1:6" ht="15" x14ac:dyDescent="0.2">
      <c r="A39" s="36" t="str">
        <f>VLOOKUP($C39,'Article Reference'!$A$3:$D$55,2,FALSE)</f>
        <v>Orkestra® Intrinsic® brand Fungicide</v>
      </c>
      <c r="B39" s="40" t="str">
        <f>VLOOKUP($C39,'Article Reference'!$A$3:$D$55,3,FALSE)</f>
        <v>4 x 16 oz</v>
      </c>
      <c r="C39" s="40">
        <v>4059014379</v>
      </c>
      <c r="D39" s="37">
        <f>VLOOKUP($C39,'Article Reference'!$A$3:$E$55,5,FALSE)</f>
        <v>705.28</v>
      </c>
      <c r="E39" s="38">
        <f>VLOOKUP(C39,'Step 1 - Order Planner'!$C$26:$E$65,3,FALSE)+VLOOKUP(C39,'Step 1 - Order Planner'!$C$26:$G$65,5,FALSE)</f>
        <v>0</v>
      </c>
      <c r="F39" s="39">
        <f t="shared" si="0"/>
        <v>0</v>
      </c>
    </row>
    <row r="40" spans="1:6" ht="15" x14ac:dyDescent="0.2">
      <c r="A40" s="36" t="str">
        <f>VLOOKUP($C40,'Article Reference'!$A$3:$D$55,2,FALSE)</f>
        <v>Pageant® Intrinsic® brand Fungicide</v>
      </c>
      <c r="B40" s="40" t="str">
        <f>VLOOKUP($C40,'Article Reference'!$A$3:$D$55,3,FALSE)</f>
        <v>4 x 1 lb</v>
      </c>
      <c r="C40" s="40">
        <v>4059012349</v>
      </c>
      <c r="D40" s="37">
        <f>VLOOKUP($C40,'Article Reference'!$A$3:$E$55,5,FALSE)</f>
        <v>497.64</v>
      </c>
      <c r="E40" s="38">
        <f>VLOOKUP(C40,'Step 1 - Order Planner'!$C$26:$E$65,3,FALSE)+VLOOKUP(C40,'Step 1 - Order Planner'!$C$26:$G$65,5,FALSE)</f>
        <v>0</v>
      </c>
      <c r="F40" s="39">
        <f t="shared" ref="F40" si="3">E40*D40</f>
        <v>0</v>
      </c>
    </row>
    <row r="41" spans="1:6" ht="15" x14ac:dyDescent="0.2">
      <c r="A41" s="36" t="str">
        <f>VLOOKUP($C41,'Article Reference'!$A$3:$D$55,2,FALSE)</f>
        <v>Pillar® G Intrinsic® brand fungicide</v>
      </c>
      <c r="B41" s="40" t="str">
        <f>VLOOKUP($C41,'Article Reference'!$A$3:$D$55,3,FALSE)</f>
        <v>15 lbs bag</v>
      </c>
      <c r="C41" s="40">
        <v>4059017959</v>
      </c>
      <c r="D41" s="37">
        <f>VLOOKUP($C41,'Article Reference'!$A$3:$E$55,5,FALSE)</f>
        <v>63.94</v>
      </c>
      <c r="E41" s="38">
        <f>VLOOKUP(C41,'Step 1 - Order Planner'!$C$26:$E$65,3,FALSE)+VLOOKUP(C41,'Step 1 - Order Planner'!$C$26:$G$65,5,FALSE)</f>
        <v>0</v>
      </c>
      <c r="F41" s="39">
        <f t="shared" si="0"/>
        <v>0</v>
      </c>
    </row>
    <row r="42" spans="1:6" ht="15" x14ac:dyDescent="0.2">
      <c r="A42" s="36" t="str">
        <f>VLOOKUP($C42,'Article Reference'!$A$3:$D$55,2,FALSE)</f>
        <v>Pillar® G Intrinsic® brand fungicide</v>
      </c>
      <c r="B42" s="40" t="str">
        <f>VLOOKUP($C42,'Article Reference'!$A$3:$D$55,3,FALSE)</f>
        <v>30 lbs bag</v>
      </c>
      <c r="C42" s="40">
        <v>4059012784</v>
      </c>
      <c r="D42" s="37">
        <f>VLOOKUP($C42,'Article Reference'!$A$3:$E$55,5,FALSE)</f>
        <v>118.5</v>
      </c>
      <c r="E42" s="38">
        <f>VLOOKUP(C42,'Step 1 - Order Planner'!$C$26:$E$65,3,FALSE)+VLOOKUP(C42,'Step 1 - Order Planner'!$C$26:$G$65,5,FALSE)</f>
        <v>0</v>
      </c>
      <c r="F42" s="39">
        <f t="shared" si="0"/>
        <v>0</v>
      </c>
    </row>
    <row r="43" spans="1:6" ht="15" x14ac:dyDescent="0.2">
      <c r="A43" s="36" t="str">
        <f>VLOOKUP($C43,'Article Reference'!$A$3:$D$55,2,FALSE)</f>
        <v>Drive® XLR8 herbicide</v>
      </c>
      <c r="B43" s="40" t="str">
        <f>VLOOKUP($C43,'Article Reference'!$A$3:$D$55,3,FALSE)</f>
        <v>4 x 0.5 gal</v>
      </c>
      <c r="C43" s="40">
        <v>4059030455</v>
      </c>
      <c r="D43" s="37">
        <f>VLOOKUP($C43,'Article Reference'!$A$3:$E$55,5,FALSE)</f>
        <v>232.72</v>
      </c>
      <c r="E43" s="38">
        <f>VLOOKUP(C43,'Step 1 - Order Planner'!$C$26:$E$65,3,FALSE)+VLOOKUP(C43,'Step 1 - Order Planner'!$C$26:$G$65,5,FALSE)</f>
        <v>0</v>
      </c>
      <c r="F43" s="39">
        <f t="shared" si="0"/>
        <v>0</v>
      </c>
    </row>
    <row r="44" spans="1:6" ht="15" x14ac:dyDescent="0.2">
      <c r="A44" s="36" t="str">
        <f>VLOOKUP($C44,'Article Reference'!$A$3:$D$55,2,FALSE)</f>
        <v>Drive® XLR8 herbicide</v>
      </c>
      <c r="B44" s="40" t="str">
        <f>VLOOKUP($C44,'Article Reference'!$A$3:$D$55,3,FALSE)</f>
        <v>2 x 2.5 gal</v>
      </c>
      <c r="C44" s="40">
        <v>4059030454</v>
      </c>
      <c r="D44" s="37">
        <f>VLOOKUP($C44,'Article Reference'!$A$3:$E$55,5,FALSE)</f>
        <v>540.32000000000005</v>
      </c>
      <c r="E44" s="38">
        <f>VLOOKUP(C44,'Step 1 - Order Planner'!$C$26:$E$65,3,FALSE)+VLOOKUP(C44,'Step 1 - Order Planner'!$C$26:$G$65,5,FALSE)</f>
        <v>0</v>
      </c>
      <c r="F44" s="39">
        <f t="shared" si="0"/>
        <v>0</v>
      </c>
    </row>
    <row r="45" spans="1:6" ht="15" x14ac:dyDescent="0.2">
      <c r="A45" s="36" t="str">
        <f>VLOOKUP($C45,'Article Reference'!$A$3:$D$55,2,FALSE)</f>
        <v>Pendulum® 2G herbicide</v>
      </c>
      <c r="B45" s="40" t="str">
        <f>VLOOKUP($C45,'Article Reference'!$A$3:$D$55,3,FALSE)</f>
        <v>20 lbs bag</v>
      </c>
      <c r="C45" s="40">
        <v>4059017972</v>
      </c>
      <c r="D45" s="37">
        <f>VLOOKUP($C45,'Article Reference'!$A$3:$E$55,5,FALSE)</f>
        <v>54.25</v>
      </c>
      <c r="E45" s="38">
        <f>VLOOKUP(C45,'Step 1 - Order Planner'!$C$26:$E$65,3,FALSE)+VLOOKUP(C45,'Step 1 - Order Planner'!$C$26:$G$65,5,FALSE)</f>
        <v>0</v>
      </c>
      <c r="F45" s="39">
        <f t="shared" si="0"/>
        <v>0</v>
      </c>
    </row>
    <row r="46" spans="1:6" ht="15" x14ac:dyDescent="0.2">
      <c r="A46" s="36" t="str">
        <f>VLOOKUP($C46,'Article Reference'!$A$3:$D$55,2,FALSE)</f>
        <v>Pendulum® 2G herbicide</v>
      </c>
      <c r="B46" s="40" t="str">
        <f>VLOOKUP($C46,'Article Reference'!$A$3:$D$55,3,FALSE)</f>
        <v>40 lbs bag</v>
      </c>
      <c r="C46" s="40">
        <v>4059015072</v>
      </c>
      <c r="D46" s="37">
        <f>VLOOKUP($C46,'Article Reference'!$A$3:$E$55,5,FALSE)</f>
        <v>95.5</v>
      </c>
      <c r="E46" s="38">
        <f>VLOOKUP(C46,'Step 1 - Order Planner'!$C$26:$E$65,3,FALSE)+VLOOKUP(C46,'Step 1 - Order Planner'!$C$26:$G$65,5,FALSE)</f>
        <v>0</v>
      </c>
      <c r="F46" s="39">
        <f t="shared" si="0"/>
        <v>0</v>
      </c>
    </row>
    <row r="47" spans="1:6" ht="15" x14ac:dyDescent="0.2">
      <c r="A47" s="36" t="str">
        <f>VLOOKUP($C47,'Article Reference'!$A$3:$D$55,2,FALSE)</f>
        <v>Pendulum® AquaCap herbicide</v>
      </c>
      <c r="B47" s="40" t="str">
        <f>VLOOKUP($C47,'Article Reference'!$A$3:$D$55,3,FALSE)</f>
        <v>2 x 2.5 gal</v>
      </c>
      <c r="C47" s="40">
        <v>4059049276</v>
      </c>
      <c r="D47" s="37">
        <f>VLOOKUP($C47,'Article Reference'!$A$3:$E$55,5,FALSE)</f>
        <v>299.62</v>
      </c>
      <c r="E47" s="38">
        <f>VLOOKUP(C47,'Step 1 - Order Planner'!$C$26:$E$65,3,FALSE)+VLOOKUP(C47,'Step 1 - Order Planner'!$C$26:$G$65,5,FALSE)</f>
        <v>0</v>
      </c>
      <c r="F47" s="39">
        <f t="shared" ref="F47:F57" si="4">E47*D47</f>
        <v>0</v>
      </c>
    </row>
    <row r="48" spans="1:6" ht="15" x14ac:dyDescent="0.2">
      <c r="A48" s="36" t="str">
        <f>VLOOKUP($C48,'Article Reference'!$A$3:$D$55,2,FALSE)</f>
        <v>Pendulum® AquaCap herbicide</v>
      </c>
      <c r="B48" s="40" t="str">
        <f>VLOOKUP($C48,'Article Reference'!$A$3:$D$55,3,FALSE)</f>
        <v>1 x 15 gal</v>
      </c>
      <c r="C48" s="40">
        <v>4059011279</v>
      </c>
      <c r="D48" s="37">
        <f>VLOOKUP($C48,'Article Reference'!$A$3:$E$55,5,FALSE)</f>
        <v>1102.8</v>
      </c>
      <c r="E48" s="38">
        <f>VLOOKUP(C48,'Step 1 - Order Planner'!$C$26:$E$65,3,FALSE)+VLOOKUP(C48,'Step 1 - Order Planner'!$C$26:$G$65,5,FALSE)</f>
        <v>0</v>
      </c>
      <c r="F48" s="39">
        <f t="shared" si="4"/>
        <v>0</v>
      </c>
    </row>
    <row r="49" spans="1:6" ht="15" x14ac:dyDescent="0.2">
      <c r="A49" s="36" t="str">
        <f>VLOOKUP($C49,'Article Reference'!$A$3:$D$55,2,FALSE)</f>
        <v>Pylex® herbicide</v>
      </c>
      <c r="B49" s="40" t="str">
        <f>VLOOKUP($C49,'Article Reference'!$A$3:$D$55,3,FALSE)</f>
        <v>4 x 4 oz</v>
      </c>
      <c r="C49" s="40">
        <v>4059018005</v>
      </c>
      <c r="D49" s="37">
        <f>VLOOKUP($C49,'Article Reference'!$A$3:$E$55,5,FALSE)</f>
        <v>1747.84</v>
      </c>
      <c r="E49" s="38">
        <f>VLOOKUP(C49,'Step 1 - Order Planner'!$C$26:$E$65,3,FALSE)+VLOOKUP(C49,'Step 1 - Order Planner'!$C$26:$G$65,5,FALSE)</f>
        <v>0</v>
      </c>
      <c r="F49" s="39">
        <f>E49*D49</f>
        <v>0</v>
      </c>
    </row>
    <row r="50" spans="1:6" ht="15" x14ac:dyDescent="0.2">
      <c r="A50" s="36" t="str">
        <f>VLOOKUP($C50,'Article Reference'!$A$3:$D$55,2,FALSE)</f>
        <v>Tower® herbicide</v>
      </c>
      <c r="B50" s="40" t="str">
        <f>VLOOKUP($C50,'Article Reference'!$A$3:$D$55,3,FALSE)</f>
        <v>2 x 2.5 gal</v>
      </c>
      <c r="C50" s="40">
        <v>4059032487</v>
      </c>
      <c r="D50" s="37">
        <f>VLOOKUP($C50,'Article Reference'!$A$3:$E$55,5,FALSE)</f>
        <v>2274</v>
      </c>
      <c r="E50" s="38">
        <f>VLOOKUP(C50,'Step 1 - Order Planner'!$C$26:$E$65,3,FALSE)+VLOOKUP(C50,'Step 1 - Order Planner'!$C$26:$G$65,5,FALSE)</f>
        <v>0</v>
      </c>
      <c r="F50" s="39">
        <f t="shared" si="4"/>
        <v>0</v>
      </c>
    </row>
    <row r="51" spans="1:6" ht="15" x14ac:dyDescent="0.2">
      <c r="A51" s="36" t="str">
        <f>VLOOKUP($C51,'Article Reference'!$A$3:$D$55,2,FALSE)</f>
        <v>Admiral® lake colorant</v>
      </c>
      <c r="B51" s="40" t="str">
        <f>VLOOKUP($C51,'Article Reference'!$A$3:$D$55,3,FALSE)</f>
        <v>4 x 1 gal</v>
      </c>
      <c r="C51" s="40">
        <v>4059014151</v>
      </c>
      <c r="D51" s="37">
        <f>VLOOKUP($C51,'Article Reference'!$A$3:$E$55,5,FALSE)</f>
        <v>300.92</v>
      </c>
      <c r="E51" s="38">
        <f>VLOOKUP(C51,'Step 1 - Order Planner'!$C$26:$E$65,3,FALSE)+VLOOKUP(C51,'Step 1 - Order Planner'!$C$26:$G$65,5,FALSE)</f>
        <v>0</v>
      </c>
      <c r="F51" s="39">
        <f t="shared" ref="F51" si="5">E51*D51</f>
        <v>0</v>
      </c>
    </row>
    <row r="52" spans="1:6" ht="15" x14ac:dyDescent="0.2">
      <c r="A52" s="36" t="str">
        <f>VLOOKUP($C52,'Article Reference'!$A$3:$D$55,2,FALSE)</f>
        <v>Black Onyx lake &amp; pond colorant</v>
      </c>
      <c r="B52" s="40" t="str">
        <f>VLOOKUP($C52,'Article Reference'!$A$3:$D$55,3,FALSE)</f>
        <v>4 x 1 gal</v>
      </c>
      <c r="C52" s="40">
        <v>4059013424</v>
      </c>
      <c r="D52" s="37">
        <f>VLOOKUP($C52,'Article Reference'!$A$3:$E$55,5,FALSE)</f>
        <v>515.12</v>
      </c>
      <c r="E52" s="38">
        <f>VLOOKUP(C52,'Step 1 - Order Planner'!$C$26:$E$65,3,FALSE)+VLOOKUP(C52,'Step 1 - Order Planner'!$C$26:$G$65,5,FALSE)</f>
        <v>0</v>
      </c>
      <c r="F52" s="39">
        <f t="shared" si="4"/>
        <v>0</v>
      </c>
    </row>
    <row r="53" spans="1:6" ht="15" x14ac:dyDescent="0.2">
      <c r="A53" s="36" t="str">
        <f>VLOOKUP($C53,'Article Reference'!$A$3:$D$55,2,FALSE)</f>
        <v>Green Lawnger® colorant</v>
      </c>
      <c r="B53" s="40" t="str">
        <f>VLOOKUP($C53,'Article Reference'!$A$3:$D$55,3,FALSE)</f>
        <v>2 x 2.5 gal</v>
      </c>
      <c r="C53" s="40">
        <v>4059030464</v>
      </c>
      <c r="D53" s="37">
        <f>VLOOKUP($C53,'Article Reference'!$A$3:$E$55,5,FALSE)</f>
        <v>446.26</v>
      </c>
      <c r="E53" s="38">
        <f>VLOOKUP(C53,'Step 1 - Order Planner'!$C$26:$E$65,3,FALSE)+VLOOKUP(C53,'Step 1 - Order Planner'!$C$26:$G$65,5,FALSE)</f>
        <v>0</v>
      </c>
      <c r="F53" s="39">
        <f t="shared" si="4"/>
        <v>0</v>
      </c>
    </row>
    <row r="54" spans="1:6" ht="15" x14ac:dyDescent="0.2">
      <c r="A54" s="36" t="str">
        <f>VLOOKUP($C54,'Article Reference'!$A$3:$D$55,2,FALSE)</f>
        <v>Green Lawnger® Transition HC colorant</v>
      </c>
      <c r="B54" s="40" t="str">
        <f>VLOOKUP($C54,'Article Reference'!$A$3:$D$55,3,FALSE)</f>
        <v>4 x 1 gal</v>
      </c>
      <c r="C54" s="40">
        <v>4059030456</v>
      </c>
      <c r="D54" s="37">
        <f>VLOOKUP($C54,'Article Reference'!$A$3:$E$55,5,FALSE)</f>
        <v>938.4</v>
      </c>
      <c r="E54" s="38">
        <f>VLOOKUP(C54,'Step 1 - Order Planner'!$C$26:$E$65,3,FALSE)+VLOOKUP(C54,'Step 1 - Order Planner'!$C$26:$G$65,5,FALSE)</f>
        <v>0</v>
      </c>
      <c r="F54" s="39">
        <f t="shared" si="4"/>
        <v>0</v>
      </c>
    </row>
    <row r="55" spans="1:6" ht="15" x14ac:dyDescent="0.2">
      <c r="A55" s="36" t="str">
        <f>VLOOKUP($C55,'Article Reference'!$A$3:$D$55,2,FALSE)</f>
        <v>Green Lawnger® Transition HC colorant</v>
      </c>
      <c r="B55" s="40" t="str">
        <f>VLOOKUP($C55,'Article Reference'!$A$3:$D$55,3,FALSE)</f>
        <v>1 x 30 gal</v>
      </c>
      <c r="C55" s="40">
        <v>4059023772</v>
      </c>
      <c r="D55" s="37">
        <f>VLOOKUP($C55,'Article Reference'!$A$3:$E$55,5,FALSE)</f>
        <v>2715.75</v>
      </c>
      <c r="E55" s="38">
        <f>VLOOKUP(C55,'Step 1 - Order Planner'!$C$26:$E$65,3,FALSE)+VLOOKUP(C55,'Step 1 - Order Planner'!$C$26:$G$65,5,FALSE)</f>
        <v>0</v>
      </c>
      <c r="F55" s="39">
        <f t="shared" si="4"/>
        <v>0</v>
      </c>
    </row>
    <row r="56" spans="1:6" ht="15" x14ac:dyDescent="0.2">
      <c r="A56" s="36" t="str">
        <f>VLOOKUP($C56,'Article Reference'!$A$3:$D$55,2,FALSE)</f>
        <v>Green Lawnger® Vision Pro colorant</v>
      </c>
      <c r="B56" s="40" t="str">
        <f>VLOOKUP($C56,'Article Reference'!$A$3:$D$55,3,FALSE)</f>
        <v>4 x 1 gal</v>
      </c>
      <c r="C56" s="40">
        <v>4059030457</v>
      </c>
      <c r="D56" s="37">
        <f>VLOOKUP($C56,'Article Reference'!$A$3:$E$55,5,FALSE)</f>
        <v>846.6</v>
      </c>
      <c r="E56" s="38">
        <f>VLOOKUP(C56,'Step 1 - Order Planner'!$C$26:$E$65,3,FALSE)+VLOOKUP(C56,'Step 1 - Order Planner'!$C$26:$G$65,5,FALSE)</f>
        <v>0</v>
      </c>
      <c r="F56" s="39">
        <f t="shared" si="4"/>
        <v>0</v>
      </c>
    </row>
    <row r="57" spans="1:6" ht="15" x14ac:dyDescent="0.2">
      <c r="A57" s="36" t="str">
        <f>VLOOKUP($C57,'Article Reference'!$A$3:$D$55,2,FALSE)</f>
        <v>Turf Mark spray indicator - blue</v>
      </c>
      <c r="B57" s="40" t="str">
        <f>VLOOKUP($C57,'Article Reference'!$A$3:$D$55,3,FALSE)</f>
        <v>12 x 0.25 gal</v>
      </c>
      <c r="C57" s="40">
        <v>4059013723</v>
      </c>
      <c r="D57" s="37">
        <f>VLOOKUP($C57,'Article Reference'!$A$3:$E$55,5,FALSE)</f>
        <v>292.56</v>
      </c>
      <c r="E57" s="38">
        <f>VLOOKUP(C57,'Step 1 - Order Planner'!$C$26:$E$65,3,FALSE)+VLOOKUP(C57,'Step 1 - Order Planner'!$C$26:$G$65,5,FALSE)</f>
        <v>0</v>
      </c>
      <c r="F57" s="39">
        <f t="shared" si="4"/>
        <v>0</v>
      </c>
    </row>
    <row r="58" spans="1:6" ht="15" x14ac:dyDescent="0.2">
      <c r="A58" s="36" t="str">
        <f>VLOOKUP($C58,'Article Reference'!$A$3:$D$55,2,FALSE)</f>
        <v>Turf Mark spray indicator - blue</v>
      </c>
      <c r="B58" s="40" t="str">
        <f>VLOOKUP($C58,'Article Reference'!$A$3:$D$55,3,FALSE)</f>
        <v>4 x 1 gal</v>
      </c>
      <c r="C58" s="40">
        <v>4059013420</v>
      </c>
      <c r="D58" s="37">
        <f>VLOOKUP($C58,'Article Reference'!$A$3:$E$55,5,FALSE)</f>
        <v>280.52</v>
      </c>
      <c r="E58" s="38">
        <f>VLOOKUP(C58,'Step 1 - Order Planner'!$C$26:$E$65,3,FALSE)+VLOOKUP(C58,'Step 1 - Order Planner'!$C$26:$G$65,5,FALSE)</f>
        <v>0</v>
      </c>
      <c r="F58" s="39">
        <f t="shared" si="0"/>
        <v>0</v>
      </c>
    </row>
    <row r="59" spans="1:6" ht="15" x14ac:dyDescent="0.2">
      <c r="A59" s="36" t="str">
        <f>VLOOKUP($C59,'Article Reference'!$A$3:$D$55,2,FALSE)</f>
        <v>Turf Mark spray indicator - blue</v>
      </c>
      <c r="B59" s="40" t="str">
        <f>VLOOKUP($C59,'Article Reference'!$A$3:$D$55,3,FALSE)</f>
        <v>2 x 2.5 gal</v>
      </c>
      <c r="C59" s="40">
        <v>4059030213</v>
      </c>
      <c r="D59" s="37">
        <f>VLOOKUP($C59,'Article Reference'!$A$3:$E$55,5,FALSE)</f>
        <v>328.32</v>
      </c>
      <c r="E59" s="38">
        <f>VLOOKUP(C59,'Step 1 - Order Planner'!$C$26:$E$65,3,FALSE)+VLOOKUP(C59,'Step 1 - Order Planner'!$C$26:$G$65,5,FALSE)</f>
        <v>0</v>
      </c>
      <c r="F59" s="39">
        <f t="shared" ref="F59" si="6">E59*D59</f>
        <v>0</v>
      </c>
    </row>
    <row r="60" spans="1:6" ht="15" x14ac:dyDescent="0.2">
      <c r="A60" s="36" t="str">
        <f>VLOOKUP($C60,'Article Reference'!$A$3:$D$55,2,FALSE)</f>
        <v>Turf Mark spray indicator - blue</v>
      </c>
      <c r="B60" s="40" t="str">
        <f>VLOOKUP($C60,'Article Reference'!$A$3:$D$55,3,FALSE)</f>
        <v>1 x 30 gal</v>
      </c>
      <c r="C60" s="40">
        <v>4059013314</v>
      </c>
      <c r="D60" s="37">
        <f>VLOOKUP($C60,'Article Reference'!$A$3:$E$55,5,FALSE)</f>
        <v>1836</v>
      </c>
      <c r="E60" s="38">
        <f>VLOOKUP(C60,'Step 1 - Order Planner'!$C$26:$E$65,3,FALSE)+VLOOKUP(C60,'Step 1 - Order Planner'!$C$26:$G$65,5,FALSE)</f>
        <v>0</v>
      </c>
      <c r="F60" s="39">
        <f t="shared" ref="F60" si="7">E60*D60</f>
        <v>0</v>
      </c>
    </row>
    <row r="61" spans="1:6" ht="15.75" customHeight="1" x14ac:dyDescent="0.2">
      <c r="A61" s="286" t="s">
        <v>212</v>
      </c>
      <c r="B61" s="287"/>
      <c r="C61" s="287"/>
      <c r="D61" s="287"/>
      <c r="E61" s="288"/>
      <c r="F61" s="136">
        <f>'Step 1 - Order Planner'!G19</f>
        <v>0</v>
      </c>
    </row>
    <row r="63" spans="1:6" x14ac:dyDescent="0.2">
      <c r="A63" s="258" t="s">
        <v>228</v>
      </c>
      <c r="B63" s="258"/>
      <c r="C63" s="258"/>
      <c r="D63" s="258"/>
      <c r="E63" s="258"/>
      <c r="F63" s="258"/>
    </row>
    <row r="64" spans="1:6" x14ac:dyDescent="0.2">
      <c r="A64" s="258"/>
      <c r="B64" s="258"/>
      <c r="C64" s="258"/>
      <c r="D64" s="258"/>
      <c r="E64" s="258"/>
      <c r="F64" s="258"/>
    </row>
    <row r="65" spans="1:6" x14ac:dyDescent="0.2">
      <c r="A65" s="258"/>
      <c r="B65" s="258"/>
      <c r="C65" s="258"/>
      <c r="D65" s="258"/>
      <c r="E65" s="258"/>
      <c r="F65" s="258"/>
    </row>
    <row r="66" spans="1:6" x14ac:dyDescent="0.2">
      <c r="A66" s="258"/>
      <c r="B66" s="258"/>
      <c r="C66" s="258"/>
      <c r="D66" s="258"/>
      <c r="E66" s="258"/>
      <c r="F66" s="258"/>
    </row>
    <row r="67" spans="1:6" x14ac:dyDescent="0.2">
      <c r="A67" s="258"/>
      <c r="B67" s="258"/>
      <c r="C67" s="258"/>
      <c r="D67" s="258"/>
      <c r="E67" s="258"/>
      <c r="F67" s="258"/>
    </row>
    <row r="68" spans="1:6" x14ac:dyDescent="0.2">
      <c r="A68" s="258"/>
      <c r="B68" s="258"/>
      <c r="C68" s="258"/>
      <c r="D68" s="258"/>
      <c r="E68" s="258"/>
      <c r="F68" s="258"/>
    </row>
    <row r="69" spans="1:6" x14ac:dyDescent="0.2">
      <c r="A69" s="258"/>
      <c r="B69" s="258"/>
      <c r="C69" s="258"/>
      <c r="D69" s="258"/>
      <c r="E69" s="258"/>
      <c r="F69" s="258"/>
    </row>
    <row r="70" spans="1:6" x14ac:dyDescent="0.2">
      <c r="A70" s="258"/>
      <c r="B70" s="258"/>
      <c r="C70" s="258"/>
      <c r="D70" s="258"/>
      <c r="E70" s="258"/>
      <c r="F70" s="258"/>
    </row>
    <row r="71" spans="1:6" x14ac:dyDescent="0.2">
      <c r="A71" s="258"/>
      <c r="B71" s="258"/>
      <c r="C71" s="258"/>
      <c r="D71" s="258"/>
      <c r="E71" s="258"/>
      <c r="F71" s="258"/>
    </row>
    <row r="72" spans="1:6" x14ac:dyDescent="0.2">
      <c r="A72" s="258"/>
      <c r="B72" s="258"/>
      <c r="C72" s="258"/>
      <c r="D72" s="258"/>
      <c r="E72" s="258"/>
      <c r="F72" s="258"/>
    </row>
  </sheetData>
  <sheetProtection algorithmName="SHA-512" hashValue="N7Fu2Xc7GnShzkBTDcnH22PDxANZa28/SV9HHlPUxvLJq4QzB1+pHp/t9zJH4H1CtoTM6snDskpAk0Hb576PhQ==" saltValue="yjUmjX4pyrFpaAam6CNpNg==" spinCount="100000" sheet="1" objects="1" scenarios="1"/>
  <protectedRanges>
    <protectedRange sqref="A17:C21" name="Range1"/>
  </protectedRanges>
  <autoFilter ref="A26:F61" xr:uid="{00000000-0009-0000-0000-000002000000}"/>
  <mergeCells count="12">
    <mergeCell ref="A13:F14"/>
    <mergeCell ref="A63:F72"/>
    <mergeCell ref="A34:E34"/>
    <mergeCell ref="A61:E61"/>
    <mergeCell ref="D16:E16"/>
    <mergeCell ref="D17:E17"/>
    <mergeCell ref="D18:E18"/>
    <mergeCell ref="D19:E19"/>
    <mergeCell ref="D22:E23"/>
    <mergeCell ref="F22:F23"/>
    <mergeCell ref="F20:F21"/>
    <mergeCell ref="D20:E21"/>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workbookViewId="0">
      <selection activeCell="Q13" sqref="Q13:Q14"/>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116</v>
      </c>
      <c r="P1" s="16" t="s">
        <v>117</v>
      </c>
      <c r="Q1" s="16" t="s">
        <v>114</v>
      </c>
      <c r="R1" s="16" t="s">
        <v>115</v>
      </c>
      <c r="S1" s="16" t="s">
        <v>58</v>
      </c>
    </row>
    <row r="2" spans="1:19" x14ac:dyDescent="0.25">
      <c r="A2" s="16" t="s">
        <v>35</v>
      </c>
      <c r="B2" s="16" t="s">
        <v>36</v>
      </c>
      <c r="C2" s="16" t="s">
        <v>37</v>
      </c>
      <c r="D2" s="16" t="s">
        <v>37</v>
      </c>
      <c r="E2" s="16" t="s">
        <v>38</v>
      </c>
      <c r="F2" s="16"/>
      <c r="G2" s="16" t="s">
        <v>51</v>
      </c>
      <c r="L2" s="145"/>
      <c r="M2" s="146"/>
      <c r="N2" s="145"/>
      <c r="O2" s="147"/>
      <c r="P2" s="147"/>
      <c r="Q2" s="298"/>
      <c r="R2" s="298"/>
      <c r="S2" s="298"/>
    </row>
    <row r="3" spans="1:19" x14ac:dyDescent="0.25">
      <c r="A3" s="13">
        <v>3000</v>
      </c>
      <c r="B3" s="13">
        <f>A4-1</f>
        <v>7999</v>
      </c>
      <c r="C3" s="14">
        <v>0.04</v>
      </c>
      <c r="D3" s="14">
        <v>0.04</v>
      </c>
      <c r="E3" s="14" t="b">
        <f>IF(AND(('Step 1 - Order Planner'!$G$19+$E$7)&gt;=3000,'Step 1 - Order Planner'!$G$19+$E$7&gt;=$A3,'Step 1 - Order Planner'!$G$19+$E$7&lt;=$B3),C3)</f>
        <v>0</v>
      </c>
      <c r="F3" s="14"/>
      <c r="G3" s="14">
        <f>SUM(E3:F3)</f>
        <v>0</v>
      </c>
      <c r="L3" s="145"/>
      <c r="M3" s="146"/>
      <c r="N3" s="145"/>
      <c r="O3" s="147"/>
      <c r="P3" s="147"/>
      <c r="Q3" s="299"/>
      <c r="R3" s="299"/>
      <c r="S3" s="299"/>
    </row>
    <row r="4" spans="1:19" x14ac:dyDescent="0.25">
      <c r="A4" s="13">
        <v>8000</v>
      </c>
      <c r="B4" s="13">
        <f>A5-1</f>
        <v>19999</v>
      </c>
      <c r="C4" s="14">
        <v>0.06</v>
      </c>
      <c r="D4" s="14">
        <v>0.06</v>
      </c>
      <c r="E4" s="14" t="b">
        <f>IF(AND(('Step 1 - Order Planner'!$G$19+$E$7)&gt;=3000,'Step 1 - Order Planner'!$G$19+$E$7&gt;=$A4,'Step 1 - Order Planner'!$G$19+$E$7&lt;=$B4),C4)</f>
        <v>0</v>
      </c>
      <c r="F4" s="14"/>
      <c r="G4" s="14">
        <f>SUM(E4:F4)</f>
        <v>0</v>
      </c>
      <c r="L4" s="62"/>
      <c r="M4" s="63"/>
      <c r="N4" s="62"/>
      <c r="O4" s="148"/>
      <c r="P4" s="148"/>
      <c r="Q4" s="149"/>
      <c r="R4" s="149"/>
      <c r="S4" s="149"/>
    </row>
    <row r="5" spans="1:19" x14ac:dyDescent="0.25">
      <c r="A5" s="13">
        <v>20000</v>
      </c>
      <c r="B5" s="13">
        <v>1000000</v>
      </c>
      <c r="C5" s="14">
        <v>0.12</v>
      </c>
      <c r="D5" s="14">
        <v>0.12</v>
      </c>
      <c r="E5" s="14" t="b">
        <f>IF(AND(('Step 1 - Order Planner'!$G$19+$E$7)&gt;=3000,'Step 1 - Order Planner'!$G$19+$E$7&gt;=$A5,'Step 1 - Order Planner'!$G$19+$E$7&lt;=$B5),C5)</f>
        <v>0</v>
      </c>
      <c r="F5" s="14"/>
      <c r="G5" s="14">
        <f>SUM(E5:F5)</f>
        <v>0</v>
      </c>
      <c r="L5" s="109"/>
      <c r="M5" s="110"/>
      <c r="N5" s="109"/>
      <c r="O5" s="111"/>
      <c r="P5" s="111"/>
      <c r="Q5" s="112"/>
      <c r="R5" s="112"/>
      <c r="S5" s="112"/>
    </row>
    <row r="6" spans="1:19" x14ac:dyDescent="0.25">
      <c r="C6" s="156" t="s">
        <v>40</v>
      </c>
      <c r="D6" s="157"/>
      <c r="E6" s="17">
        <f>SUM(E3:E5)</f>
        <v>0</v>
      </c>
      <c r="F6" s="17"/>
      <c r="G6" s="17">
        <f>SUM(E6:F6)</f>
        <v>0</v>
      </c>
      <c r="L6" s="64"/>
      <c r="M6" s="65"/>
      <c r="N6" s="64"/>
      <c r="O6" s="66"/>
      <c r="P6" s="66"/>
      <c r="Q6" s="302"/>
      <c r="R6" s="302"/>
      <c r="S6" s="302"/>
    </row>
    <row r="7" spans="1:19" x14ac:dyDescent="0.25">
      <c r="E7" s="93">
        <v>0</v>
      </c>
      <c r="L7" s="64"/>
      <c r="M7" s="65"/>
      <c r="N7" s="64"/>
      <c r="O7" s="66"/>
      <c r="P7" s="66"/>
      <c r="Q7" s="303"/>
      <c r="R7" s="303"/>
      <c r="S7" s="303"/>
    </row>
    <row r="8" spans="1:19" x14ac:dyDescent="0.25">
      <c r="L8" s="67">
        <v>4059028038</v>
      </c>
      <c r="M8" s="68" t="str">
        <f>VLOOKUP($L8,'Article Reference'!$A$5:$C$19,2,FALSE)</f>
        <v>Insignia® SC Intrinsic® brand fungicide</v>
      </c>
      <c r="N8" s="67" t="str">
        <f>VLOOKUP($L8,'Article Reference'!$A$5:$C$19,3,FALSE)</f>
        <v>4 x 30.5 fl oz</v>
      </c>
      <c r="O8" s="69">
        <f>VLOOKUP(L8,'Step 1 - Order Planner'!$C$26:$E$32,3,FALSE)</f>
        <v>0</v>
      </c>
      <c r="P8" s="69">
        <f>VLOOKUP(L8,'Step 1 - Order Planner'!$C$26:$G$32,5,FALSE)</f>
        <v>0</v>
      </c>
      <c r="Q8" s="304">
        <f>IF(O8+O9&gt;0,1,0)</f>
        <v>0</v>
      </c>
      <c r="R8" s="304">
        <f>IF(P8+P9&gt;0,1,0)</f>
        <v>0</v>
      </c>
      <c r="S8" s="304">
        <f>IF(OR(Q8=1,R8=1),1,0)</f>
        <v>0</v>
      </c>
    </row>
    <row r="9" spans="1:19" x14ac:dyDescent="0.25">
      <c r="A9" s="12" t="s">
        <v>200</v>
      </c>
      <c r="C9" s="12" t="s">
        <v>33</v>
      </c>
      <c r="D9" s="12" t="s">
        <v>34</v>
      </c>
      <c r="L9" s="67">
        <v>4059028040</v>
      </c>
      <c r="M9" s="68" t="str">
        <f>VLOOKUP($L9,'Article Reference'!$A$5:$C$19,2,FALSE)</f>
        <v>Insignia® SC Intrinsic® brand fungicide</v>
      </c>
      <c r="N9" s="67" t="str">
        <f>VLOOKUP($L9,'Article Reference'!$A$5:$C$19,3,FALSE)</f>
        <v>2 x 2.5 gal</v>
      </c>
      <c r="O9" s="69">
        <f>VLOOKUP(L9,'Step 1 - Order Planner'!$C$26:$E$32,3,FALSE)</f>
        <v>0</v>
      </c>
      <c r="P9" s="69">
        <f>VLOOKUP(L9,'Step 1 - Order Planner'!$C$26:$G$32,5,FALSE)</f>
        <v>0</v>
      </c>
      <c r="Q9" s="305"/>
      <c r="R9" s="305"/>
      <c r="S9" s="305"/>
    </row>
    <row r="10" spans="1:19" x14ac:dyDescent="0.25">
      <c r="A10" s="16" t="s">
        <v>35</v>
      </c>
      <c r="B10" s="16" t="s">
        <v>36</v>
      </c>
      <c r="C10" s="16" t="s">
        <v>37</v>
      </c>
      <c r="D10" s="16" t="s">
        <v>37</v>
      </c>
      <c r="E10" s="16" t="s">
        <v>38</v>
      </c>
      <c r="F10" s="16" t="s">
        <v>39</v>
      </c>
      <c r="G10" s="16" t="s">
        <v>51</v>
      </c>
      <c r="H10" s="106">
        <f>'Step 1 - Order Planner'!G17</f>
        <v>0</v>
      </c>
      <c r="L10" s="79">
        <v>4059027998</v>
      </c>
      <c r="M10" s="80" t="str">
        <f>VLOOKUP($L10,'Article Reference'!$A$5:$C$19,2,FALSE)</f>
        <v>Lexicon® Intrinsic® brand fungicide</v>
      </c>
      <c r="N10" s="79" t="str">
        <f>VLOOKUP($L10,'Article Reference'!$A$5:$C$19,3,FALSE)</f>
        <v>4 x 21 oz</v>
      </c>
      <c r="O10" s="81">
        <f>VLOOKUP(L10,'Step 1 - Order Planner'!$C$26:$E$32,3,FALSE)</f>
        <v>0</v>
      </c>
      <c r="P10" s="81">
        <f>VLOOKUP(L10,'Step 1 - Order Planner'!$C$26:$G$32,5,FALSE)</f>
        <v>0</v>
      </c>
      <c r="Q10" s="82">
        <f>IF(O10&gt;0,1,0)</f>
        <v>0</v>
      </c>
      <c r="R10" s="82">
        <f>IF(P10&gt;0,1,0)</f>
        <v>0</v>
      </c>
      <c r="S10" s="82">
        <f>IF(OR(Q10=1,R10=1),1,0)</f>
        <v>0</v>
      </c>
    </row>
    <row r="11" spans="1:19" x14ac:dyDescent="0.25">
      <c r="A11" s="13">
        <v>3000</v>
      </c>
      <c r="B11" s="13">
        <f>A12-1</f>
        <v>7999</v>
      </c>
      <c r="C11" s="14">
        <v>0.08</v>
      </c>
      <c r="D11" s="14">
        <v>0.03</v>
      </c>
      <c r="E11" s="14" t="b">
        <f>IF(AND(('Step 1 - Order Planner'!$F$33)&gt;=3000,Q18&gt;=1),C11)</f>
        <v>0</v>
      </c>
      <c r="F11" s="14" t="b">
        <f>IF(AND(('Step 1 - Order Planner'!$I$33)&gt;=3000,S18&gt;=1),D11)</f>
        <v>0</v>
      </c>
      <c r="G11" s="14" t="b">
        <f>IF(E11&lt;&gt;FALSE,E11,F11)</f>
        <v>0</v>
      </c>
      <c r="H11" s="106">
        <f>A11-H10</f>
        <v>3000</v>
      </c>
      <c r="I11" s="107">
        <v>0.08</v>
      </c>
      <c r="L11" s="70">
        <v>4059026395</v>
      </c>
      <c r="M11" s="71" t="str">
        <f>VLOOKUP($L11,'Article Reference'!$A$5:$C$19,2,FALSE)</f>
        <v>Pillar® SC Intrinsic brand fungicide</v>
      </c>
      <c r="N11" s="70" t="str">
        <f>VLOOKUP($L11,'Article Reference'!$A$5:$C$19,3,FALSE)</f>
        <v>4 x 435 fl oz</v>
      </c>
      <c r="O11" s="72">
        <f>VLOOKUP(L11,'Step 1 - Order Planner'!$C$26:$E$32,3,FALSE)</f>
        <v>0</v>
      </c>
      <c r="P11" s="72"/>
      <c r="Q11" s="304">
        <f>IF(O11+O12&gt;0,1,0)</f>
        <v>0</v>
      </c>
      <c r="R11" s="304">
        <f>IF(P11+P12&gt;0,1,0)</f>
        <v>0</v>
      </c>
      <c r="S11" s="304">
        <f>IF(OR(Q11=1,R11=1),1,0)</f>
        <v>0</v>
      </c>
    </row>
    <row r="12" spans="1:19" x14ac:dyDescent="0.25">
      <c r="A12" s="13">
        <v>8000</v>
      </c>
      <c r="B12" s="13">
        <f>A13-1</f>
        <v>19999</v>
      </c>
      <c r="C12" s="14">
        <v>0.14000000000000001</v>
      </c>
      <c r="D12" s="14">
        <v>0.06</v>
      </c>
      <c r="E12" s="14" t="b">
        <f>IF(AND(('Step 1 - Order Planner'!$F$33)&gt;=3000,$Q$18&gt;=1,'Step 1 - Order Planner'!I33&gt;=$A12,'Step 1 - Order Planner'!I33&lt;=$B12),C12)</f>
        <v>0</v>
      </c>
      <c r="F12" s="14" t="b">
        <f>IF(AND(('Step 1 - Order Planner'!$I$33)&gt;=3000,$S$18&gt;=1,'Step 1 - Order Planner'!I33&gt;=$A12,'Step 1 - Order Planner'!I33&lt;=$B12),D12)</f>
        <v>0</v>
      </c>
      <c r="G12" s="14" t="b">
        <f>IF(E12&lt;&gt;FALSE,E12,F12)</f>
        <v>0</v>
      </c>
      <c r="H12" s="106">
        <f>A12-H10</f>
        <v>8000</v>
      </c>
      <c r="I12" s="107">
        <v>0.14000000000000001</v>
      </c>
      <c r="L12" s="70">
        <v>4059032585</v>
      </c>
      <c r="M12" s="71" t="str">
        <f>VLOOKUP($L12,'Article Reference'!$A$5:$C$19,2,FALSE)</f>
        <v>Pillar® SC Intrinsic brand fungicide</v>
      </c>
      <c r="N12" s="70" t="str">
        <f>VLOOKUP($L12,'Article Reference'!$A$5:$C$19,3,FALSE)</f>
        <v>2 x 128 fl oz</v>
      </c>
      <c r="O12" s="72">
        <f>VLOOKUP(L12,'Step 1 - Order Planner'!$C$26:$E$32,3,FALSE)</f>
        <v>0</v>
      </c>
      <c r="P12" s="72"/>
      <c r="Q12" s="305"/>
      <c r="R12" s="305"/>
      <c r="S12" s="305"/>
    </row>
    <row r="13" spans="1:19" x14ac:dyDescent="0.25">
      <c r="A13" s="13">
        <v>20000</v>
      </c>
      <c r="B13" s="13">
        <f>A14-1</f>
        <v>29999</v>
      </c>
      <c r="C13" s="14">
        <v>0.17</v>
      </c>
      <c r="D13" s="14">
        <v>0.09</v>
      </c>
      <c r="E13" s="14" t="b">
        <f>IF(AND(('Step 1 - Order Planner'!$F$33)&gt;=3000,Q18&gt;=1,'Step 1 - Order Planner'!I33&gt;=$A13,'Step 1 - Order Planner'!I33&lt;=$B13),C13)</f>
        <v>0</v>
      </c>
      <c r="F13" s="14" t="b">
        <f>IF(AND(('Step 1 - Order Planner'!$I$33)&gt;=3000,$S$18&gt;=1,'Step 1 - Order Planner'!I33&gt;=$A13,'Step 1 - Order Planner'!I33&lt;=$B13),D13)</f>
        <v>0</v>
      </c>
      <c r="G13" s="14" t="b">
        <f>IF(E13&lt;&gt;FALSE,E13,F13)</f>
        <v>0</v>
      </c>
      <c r="H13" s="106">
        <f>A13-H10</f>
        <v>20000</v>
      </c>
      <c r="I13" s="107">
        <v>0.17</v>
      </c>
      <c r="L13" s="73"/>
      <c r="M13" s="74"/>
      <c r="N13" s="73"/>
      <c r="O13" s="75"/>
      <c r="P13" s="75"/>
      <c r="Q13" s="304">
        <f>IF(O13+O14&gt;0,1,0)</f>
        <v>0</v>
      </c>
      <c r="R13" s="304">
        <f>IF(P13+P14&gt;0,1,0)</f>
        <v>0</v>
      </c>
      <c r="S13" s="304">
        <f>IF(OR(Q13=1,R13=1),1,0)</f>
        <v>0</v>
      </c>
    </row>
    <row r="14" spans="1:19" x14ac:dyDescent="0.25">
      <c r="A14" s="13">
        <v>30000</v>
      </c>
      <c r="B14" s="13">
        <f>A15-1</f>
        <v>39999</v>
      </c>
      <c r="C14" s="14">
        <v>0.2</v>
      </c>
      <c r="D14" s="14">
        <v>0.1</v>
      </c>
      <c r="E14" s="14" t="b">
        <f>IF(AND(('Step 1 - Order Planner'!$F$33)&gt;=3000,Q18&gt;=1,'Step 1 - Order Planner'!I33&gt;=$A14,'Step 1 - Order Planner'!I33&lt;=$B14),C14)</f>
        <v>0</v>
      </c>
      <c r="F14" s="14" t="b">
        <f>IF(AND(('Step 1 - Order Planner'!$I$33)&gt;=3000,$S$18&gt;=1,'Step 1 - Order Planner'!I33&gt;=$A14,'Step 1 - Order Planner'!I33&lt;=$B14),D14)</f>
        <v>0</v>
      </c>
      <c r="G14" s="14" t="b">
        <f>IF(E14&lt;&gt;FALSE,E14,F14)</f>
        <v>0</v>
      </c>
      <c r="H14" s="106">
        <f>A14-H10</f>
        <v>30000</v>
      </c>
      <c r="I14" s="107">
        <v>0.2</v>
      </c>
      <c r="L14" s="73"/>
      <c r="M14" s="74"/>
      <c r="N14" s="73"/>
      <c r="O14" s="75"/>
      <c r="P14" s="75"/>
      <c r="Q14" s="305"/>
      <c r="R14" s="305"/>
      <c r="S14" s="305"/>
    </row>
    <row r="15" spans="1:19" x14ac:dyDescent="0.25">
      <c r="A15" s="13">
        <v>40000</v>
      </c>
      <c r="B15" s="13">
        <v>10000000</v>
      </c>
      <c r="C15" s="14">
        <v>0.24</v>
      </c>
      <c r="D15" s="14">
        <v>0.12</v>
      </c>
      <c r="E15" s="14" t="b">
        <f>IF(AND(('Step 1 - Order Planner'!$F$33)&gt;=3000,Q18&gt;=1,'Step 1 - Order Planner'!I33&gt;=$A15,'Step 1 - Order Planner'!I33&lt;=$B15),C15)</f>
        <v>0</v>
      </c>
      <c r="F15" s="14" t="b">
        <f>IF(AND(('Step 1 - Order Planner'!$I$33)&gt;=3000,$S$18&gt;=1,'Step 1 - Order Planner'!I33&gt;=$A15,'Step 1 - Order Planner'!I33&lt;=$B15),D15)</f>
        <v>0</v>
      </c>
      <c r="G15" s="14" t="b">
        <f>IF(E15&lt;&gt;FALSE,E15,F15)</f>
        <v>0</v>
      </c>
      <c r="H15" s="106">
        <f>A15-H10</f>
        <v>40000</v>
      </c>
      <c r="I15" s="107">
        <v>0.24</v>
      </c>
      <c r="L15" s="76">
        <v>4059014120</v>
      </c>
      <c r="M15" s="77" t="str">
        <f>VLOOKUP($L15,'Article Reference'!$A$5:$C$19,2,FALSE)</f>
        <v>Xzemplar® fungicide</v>
      </c>
      <c r="N15" s="76" t="str">
        <f>VLOOKUP($L15,'Article Reference'!$A$5:$C$19,3,FALSE)</f>
        <v>4 x 11.4 oz</v>
      </c>
      <c r="O15" s="78">
        <f>VLOOKUP(L15,'Step 1 - Order Planner'!$C$26:$E$32,3,FALSE)</f>
        <v>0</v>
      </c>
      <c r="P15" s="78">
        <f>VLOOKUP(L15,'Step 1 - Order Planner'!$C$26:$G$32,5,FALSE)</f>
        <v>0</v>
      </c>
      <c r="Q15" s="295">
        <f>IF(O15+O17&gt;0,1,0)</f>
        <v>0</v>
      </c>
      <c r="R15" s="295">
        <f>IF(P15+P17&gt;0,1,0)</f>
        <v>0</v>
      </c>
      <c r="S15" s="295">
        <f>IF(OR(Q15=1,R15=1),1,0)</f>
        <v>0</v>
      </c>
    </row>
    <row r="16" spans="1:19" x14ac:dyDescent="0.25">
      <c r="C16" s="158" t="s">
        <v>40</v>
      </c>
      <c r="D16" s="159"/>
      <c r="E16" s="138"/>
      <c r="F16" s="138"/>
      <c r="G16" s="138">
        <f>MAX(G11:G15)</f>
        <v>0</v>
      </c>
      <c r="H16" s="106" cm="1">
        <f t="array" ref="H16">MIN(IF(H11:H15&gt;0,H11:H15))</f>
        <v>3000</v>
      </c>
      <c r="L16" s="76"/>
      <c r="M16" s="77"/>
      <c r="N16" s="76"/>
      <c r="O16" s="78"/>
      <c r="P16" s="78"/>
      <c r="Q16" s="296"/>
      <c r="R16" s="296"/>
      <c r="S16" s="296"/>
    </row>
    <row r="17" spans="1:21" x14ac:dyDescent="0.25">
      <c r="L17" s="76">
        <v>4059013833</v>
      </c>
      <c r="M17" s="77" t="str">
        <f>VLOOKUP($L17,'Article Reference'!$A$5:$C$19,2,FALSE)</f>
        <v>Xzemplar® fungicide</v>
      </c>
      <c r="N17" s="76" t="str">
        <f>VLOOKUP($L17,'Article Reference'!$A$5:$C$19,3,FALSE)</f>
        <v>2 x 114 oz</v>
      </c>
      <c r="O17" s="78">
        <f>VLOOKUP(L17,'Step 1 - Order Planner'!$C$26:$E$32,3,FALSE)</f>
        <v>0</v>
      </c>
      <c r="P17" s="78">
        <f>VLOOKUP(L17,'Step 1 - Order Planner'!$C$26:$G$32,5,FALSE)</f>
        <v>0</v>
      </c>
      <c r="Q17" s="297"/>
      <c r="R17" s="297"/>
      <c r="S17" s="297"/>
    </row>
    <row r="18" spans="1:21" x14ac:dyDescent="0.25">
      <c r="A18" s="12" t="s">
        <v>130</v>
      </c>
      <c r="Q18" s="86">
        <f>SUM(Q2:Q17)</f>
        <v>0</v>
      </c>
      <c r="R18" s="86">
        <f>SUM(R2:R17)</f>
        <v>0</v>
      </c>
      <c r="S18" s="86">
        <f>SUM(S2:S17)</f>
        <v>0</v>
      </c>
    </row>
    <row r="19" spans="1:21" x14ac:dyDescent="0.25">
      <c r="A19" s="16" t="s">
        <v>35</v>
      </c>
      <c r="B19" s="16" t="s">
        <v>36</v>
      </c>
      <c r="C19" s="16" t="s">
        <v>37</v>
      </c>
      <c r="D19" s="16" t="s">
        <v>37</v>
      </c>
      <c r="E19" s="16"/>
      <c r="F19" s="16"/>
      <c r="G19" s="16" t="s">
        <v>51</v>
      </c>
      <c r="H19" s="106" cm="1">
        <f t="array" ref="H19:I19">'Step 1 - Order Planner'!G19:H19</f>
        <v>0</v>
      </c>
      <c r="I19" s="12">
        <v>0</v>
      </c>
    </row>
    <row r="20" spans="1:21" x14ac:dyDescent="0.25">
      <c r="A20" s="13">
        <v>3000</v>
      </c>
      <c r="B20" s="13">
        <f>A21-1</f>
        <v>7999</v>
      </c>
      <c r="C20" s="14">
        <v>0.04</v>
      </c>
      <c r="D20" s="14">
        <v>0.04</v>
      </c>
      <c r="E20" s="14" t="b">
        <f>IF(AND(('Step 1 - Order Planner'!$F$33+'Step 1 - Order Planner'!$H$33+'Step 1 - Order Planner'!$F$66)&gt;=3000,'Step 1 - Order Planner'!$F$33+'Step 1 - Order Planner'!$H$33+'Step 1 - Order Planner'!$F$66&gt;=$A20,'Step 1 - Order Planner'!$F$33+'Step 1 - Order Planner'!$H$33+'Step 1 - Order Planner'!$F$66&lt;=$B20,S18&lt;=3),C20)</f>
        <v>0</v>
      </c>
      <c r="F20" s="14">
        <f>IF(AND(SUM('Step 1 - Order Planner'!F26:F31)&gt;=3000,SUM('Step 1 - Order Planner'!F26:F31)&lt;8000),0.04,0)</f>
        <v>0</v>
      </c>
      <c r="G20" s="14">
        <f>SUM(E20:F20)</f>
        <v>0</v>
      </c>
      <c r="H20" s="106">
        <f>A20-$H$19</f>
        <v>3000</v>
      </c>
      <c r="I20" s="107">
        <v>0.04</v>
      </c>
    </row>
    <row r="21" spans="1:21" x14ac:dyDescent="0.25">
      <c r="A21" s="13">
        <v>8000</v>
      </c>
      <c r="B21" s="13">
        <f>A22-1</f>
        <v>19999</v>
      </c>
      <c r="C21" s="14">
        <v>0.06</v>
      </c>
      <c r="D21" s="14">
        <v>0.06</v>
      </c>
      <c r="E21" s="14" t="b">
        <f>IF(AND(('Step 1 - Order Planner'!$F$33+'Step 1 - Order Planner'!$H$33+'Step 1 - Order Planner'!$F$66)&gt;=3000,'Step 1 - Order Planner'!$F$33+'Step 1 - Order Planner'!$H$33+'Step 1 - Order Planner'!$F$66&gt;=$A21,'Step 1 - Order Planner'!$F$33+'Step 1 - Order Planner'!$H$33+'Step 1 - Order Planner'!$F$66&lt;=$B21,S18&lt;=3),C21)</f>
        <v>0</v>
      </c>
      <c r="F21" s="14"/>
      <c r="G21" s="14">
        <f>SUM(E21:F21)</f>
        <v>0</v>
      </c>
      <c r="H21" s="106">
        <f>A21-$H$19</f>
        <v>8000</v>
      </c>
      <c r="I21" s="107">
        <v>0.06</v>
      </c>
      <c r="L21" s="4" t="s">
        <v>1</v>
      </c>
      <c r="M21" s="4" t="s">
        <v>10</v>
      </c>
      <c r="N21" s="4" t="s">
        <v>0</v>
      </c>
      <c r="O21" s="4" t="s">
        <v>215</v>
      </c>
      <c r="P21" s="4" t="s">
        <v>216</v>
      </c>
      <c r="Q21" s="4" t="s">
        <v>230</v>
      </c>
      <c r="R21" s="4" t="s">
        <v>233</v>
      </c>
      <c r="S21" s="4" t="s">
        <v>231</v>
      </c>
      <c r="T21" s="4" t="s">
        <v>232</v>
      </c>
    </row>
    <row r="22" spans="1:21" x14ac:dyDescent="0.25">
      <c r="A22" s="13">
        <v>20000</v>
      </c>
      <c r="B22" s="13">
        <v>1000000</v>
      </c>
      <c r="C22" s="14">
        <v>0.12</v>
      </c>
      <c r="D22" s="14">
        <v>0.12</v>
      </c>
      <c r="E22" s="14" t="b">
        <f>IF(AND(('Step 1 - Order Planner'!$F$33+'Step 1 - Order Planner'!$H$33+'Step 1 - Order Planner'!$F$66)&gt;=3000,'Step 1 - Order Planner'!$F$33+'Step 1 - Order Planner'!$H$33+'Step 1 - Order Planner'!$F$66&gt;=$A22,'Step 1 - Order Planner'!$F$33+'Step 1 - Order Planner'!$H$33+'Step 1 - Order Planner'!$F$66&lt;=$B22,S18&lt;=3),C22)</f>
        <v>0</v>
      </c>
      <c r="F22" s="14"/>
      <c r="G22" s="14">
        <f>SUM(E22:F22)</f>
        <v>0</v>
      </c>
      <c r="H22" s="106">
        <f>A22-$H$19</f>
        <v>20000</v>
      </c>
      <c r="I22" s="107">
        <v>0.12</v>
      </c>
      <c r="L22" s="1"/>
      <c r="M22" s="2"/>
      <c r="N22" s="1"/>
      <c r="O22" s="150"/>
      <c r="P22" s="150"/>
      <c r="Q22" s="150"/>
      <c r="R22" s="173"/>
      <c r="S22" s="174"/>
      <c r="T22" s="174"/>
    </row>
    <row r="23" spans="1:21" x14ac:dyDescent="0.25">
      <c r="C23" s="300" t="s">
        <v>40</v>
      </c>
      <c r="D23" s="301"/>
      <c r="E23" s="17">
        <f>SUM(E20:E22)</f>
        <v>0</v>
      </c>
      <c r="F23" s="17">
        <f>SUM(F20:F22)</f>
        <v>0</v>
      </c>
      <c r="G23" s="17">
        <f>SUM(E23:F23)</f>
        <v>0</v>
      </c>
      <c r="H23" s="106">
        <f t="array" ref="H23">MIN(IF(H20:H22&gt;0,H20:H22))</f>
        <v>3000</v>
      </c>
      <c r="L23" s="1">
        <v>4059032487</v>
      </c>
      <c r="M23" s="2" t="str">
        <f>VLOOKUP($L23,'Article Reference'!$A$3:$C$55,2,FALSE)</f>
        <v>Tower® herbicide</v>
      </c>
      <c r="N23" s="1" t="str">
        <f>VLOOKUP($L23,'Article Reference'!$A$3:$C$55,3,FALSE)</f>
        <v>2 x 2.5 gal</v>
      </c>
      <c r="O23" s="150">
        <f>'Step 1 - Order Planner'!E53</f>
        <v>0</v>
      </c>
      <c r="P23" s="150">
        <f>O23*2</f>
        <v>0</v>
      </c>
      <c r="Q23" s="150">
        <v>2</v>
      </c>
      <c r="R23" s="173">
        <f>IF(Q23&gt;=2,0.05,0)</f>
        <v>0.05</v>
      </c>
      <c r="S23" s="174">
        <f>'Step 1 - Order Planner'!F53</f>
        <v>0</v>
      </c>
      <c r="T23" s="174">
        <f>IF(P23&gt;=Q23,R23*S23,0)</f>
        <v>0</v>
      </c>
    </row>
    <row r="24" spans="1:21" x14ac:dyDescent="0.25">
      <c r="D24" s="12"/>
      <c r="L24" s="1"/>
      <c r="M24" s="2"/>
      <c r="N24" s="1"/>
      <c r="O24" s="150"/>
      <c r="P24" s="150"/>
      <c r="Q24" s="150"/>
      <c r="R24" s="173"/>
      <c r="S24" s="174"/>
      <c r="T24" s="174"/>
    </row>
    <row r="25" spans="1:21" x14ac:dyDescent="0.25">
      <c r="H25" s="106"/>
      <c r="L25" s="1"/>
      <c r="M25" s="2"/>
      <c r="N25" s="1"/>
      <c r="O25" s="150"/>
      <c r="P25" s="150"/>
      <c r="Q25" s="150"/>
      <c r="R25" s="173"/>
      <c r="S25" s="174"/>
      <c r="T25" s="174"/>
    </row>
    <row r="26" spans="1:21" x14ac:dyDescent="0.25">
      <c r="K26" s="175" t="s">
        <v>229</v>
      </c>
      <c r="L26" s="1"/>
      <c r="M26" s="2"/>
      <c r="N26" s="1"/>
      <c r="O26" s="150"/>
      <c r="P26" s="150"/>
      <c r="Q26" s="150"/>
      <c r="R26" s="173"/>
      <c r="S26" s="174"/>
      <c r="T26" s="174"/>
      <c r="U26" s="12" t="s">
        <v>239</v>
      </c>
    </row>
  </sheetData>
  <mergeCells count="19">
    <mergeCell ref="R13:R14"/>
    <mergeCell ref="Q13:Q14"/>
    <mergeCell ref="R15:R17"/>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s>
  <pageMargins left="0.7" right="0.7" top="0.75" bottom="0.75" header="0.3" footer="0.3"/>
  <pageSetup orientation="portrait" r:id="rId1"/>
  <headerFooter>
    <oddFooter>&amp;C_x000D_&amp;1#&amp;"Arial"&amp;10&amp;K000000 Internal</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T57"/>
  <sheetViews>
    <sheetView workbookViewId="0">
      <selection activeCell="G61" sqref="G61"/>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11.85546875" style="7" customWidth="1"/>
    <col min="8" max="9" width="8.85546875" style="7"/>
    <col min="10" max="10" width="11.5703125" style="7" bestFit="1" customWidth="1"/>
    <col min="11" max="11" width="2.140625" style="7" customWidth="1"/>
    <col min="12" max="12" width="9.85546875" style="7" bestFit="1" customWidth="1"/>
    <col min="13" max="13" width="24.5703125" style="7" bestFit="1" customWidth="1"/>
    <col min="14" max="14" width="13.85546875" style="7" bestFit="1" customWidth="1"/>
    <col min="15" max="15" width="11.140625" style="7" customWidth="1"/>
    <col min="16" max="16384" width="8.85546875" style="7"/>
  </cols>
  <sheetData>
    <row r="1" spans="1:20" x14ac:dyDescent="0.2">
      <c r="A1" s="306" t="s">
        <v>240</v>
      </c>
      <c r="B1" s="306"/>
      <c r="C1" s="306"/>
      <c r="D1" s="306"/>
      <c r="E1" s="306"/>
      <c r="F1" s="218"/>
      <c r="G1" s="218"/>
    </row>
    <row r="2" spans="1:20" x14ac:dyDescent="0.2">
      <c r="A2" s="4" t="s">
        <v>1</v>
      </c>
      <c r="B2" s="4" t="s">
        <v>10</v>
      </c>
      <c r="C2" s="4" t="s">
        <v>0</v>
      </c>
      <c r="D2" s="4" t="s">
        <v>56</v>
      </c>
      <c r="E2" s="4" t="s">
        <v>209</v>
      </c>
      <c r="F2" s="221" t="s">
        <v>259</v>
      </c>
      <c r="G2" s="221" t="s">
        <v>260</v>
      </c>
      <c r="H2" s="115" t="s">
        <v>164</v>
      </c>
      <c r="I2" s="115" t="s">
        <v>165</v>
      </c>
      <c r="J2" s="115" t="s">
        <v>166</v>
      </c>
    </row>
    <row r="3" spans="1:20" x14ac:dyDescent="0.2">
      <c r="A3" s="171">
        <v>4059026671</v>
      </c>
      <c r="B3" s="2" t="s">
        <v>223</v>
      </c>
      <c r="C3" s="1" t="s">
        <v>24</v>
      </c>
      <c r="D3" s="61">
        <v>5477.4</v>
      </c>
      <c r="E3" s="61">
        <v>5640.36</v>
      </c>
      <c r="F3" s="219"/>
      <c r="G3" s="219"/>
      <c r="H3" s="7">
        <v>5</v>
      </c>
      <c r="I3" s="103">
        <f>J3/H3</f>
        <v>1095.48</v>
      </c>
      <c r="J3" s="104">
        <f>D3</f>
        <v>5477.4</v>
      </c>
      <c r="L3" s="177" t="s">
        <v>188</v>
      </c>
      <c r="M3" s="177" t="s">
        <v>238</v>
      </c>
      <c r="R3" s="178">
        <v>5477.4</v>
      </c>
      <c r="S3" s="178">
        <v>5640.36</v>
      </c>
      <c r="T3" s="181"/>
    </row>
    <row r="4" spans="1:20" x14ac:dyDescent="0.2">
      <c r="A4" s="171">
        <v>4059032979</v>
      </c>
      <c r="B4" s="2" t="s">
        <v>220</v>
      </c>
      <c r="C4" s="1" t="s">
        <v>221</v>
      </c>
      <c r="D4" s="61">
        <v>1553.84</v>
      </c>
      <c r="E4" s="61">
        <v>1600.8</v>
      </c>
      <c r="F4" s="219"/>
      <c r="G4" s="219"/>
      <c r="H4" s="7">
        <f>4*43.5</f>
        <v>174</v>
      </c>
      <c r="I4" s="103">
        <f>J4/H4</f>
        <v>8.9301149425287356</v>
      </c>
      <c r="J4" s="104">
        <f>D4</f>
        <v>1553.84</v>
      </c>
      <c r="L4" s="177" t="s">
        <v>188</v>
      </c>
      <c r="M4" s="177" t="s">
        <v>238</v>
      </c>
      <c r="R4" s="178">
        <v>1553.84</v>
      </c>
      <c r="S4" s="178">
        <v>1600.8</v>
      </c>
      <c r="T4" s="181"/>
    </row>
    <row r="5" spans="1:20" x14ac:dyDescent="0.2">
      <c r="A5" s="171">
        <v>4059021463</v>
      </c>
      <c r="B5" s="2" t="s">
        <v>139</v>
      </c>
      <c r="C5" s="1" t="s">
        <v>2</v>
      </c>
      <c r="D5" s="61">
        <v>1299.5</v>
      </c>
      <c r="E5" s="61">
        <v>1338.1</v>
      </c>
      <c r="F5" s="219"/>
      <c r="G5" s="219"/>
      <c r="H5" s="7">
        <f>10*0.49</f>
        <v>4.9000000000000004</v>
      </c>
      <c r="I5" s="103">
        <f>J5/H5</f>
        <v>265.20408163265301</v>
      </c>
      <c r="J5" s="104">
        <f>D5</f>
        <v>1299.5</v>
      </c>
      <c r="R5" s="178">
        <v>1299.5</v>
      </c>
      <c r="S5" s="178">
        <v>1338.1</v>
      </c>
      <c r="T5" s="181"/>
    </row>
    <row r="6" spans="1:20" x14ac:dyDescent="0.2">
      <c r="A6" s="171">
        <v>4059014003</v>
      </c>
      <c r="B6" s="2" t="s">
        <v>173</v>
      </c>
      <c r="C6" s="1" t="s">
        <v>24</v>
      </c>
      <c r="D6" s="105">
        <v>714</v>
      </c>
      <c r="E6" s="105">
        <v>735.26</v>
      </c>
      <c r="F6" s="219"/>
      <c r="G6" s="219"/>
      <c r="H6" s="7">
        <f>2*2.5</f>
        <v>5</v>
      </c>
      <c r="I6" s="103">
        <f t="shared" ref="I6:I19" si="0">J6/H6</f>
        <v>142.80000000000001</v>
      </c>
      <c r="J6" s="104">
        <f t="shared" ref="J6:J19" si="1">D6</f>
        <v>714</v>
      </c>
      <c r="R6" s="178">
        <v>714</v>
      </c>
      <c r="S6" s="178">
        <v>735.26</v>
      </c>
      <c r="T6" s="181"/>
    </row>
    <row r="7" spans="1:20" x14ac:dyDescent="0.2">
      <c r="A7" s="171">
        <v>4059012350</v>
      </c>
      <c r="B7" s="2" t="s">
        <v>140</v>
      </c>
      <c r="C7" s="1" t="s">
        <v>4</v>
      </c>
      <c r="D7" s="61">
        <v>3745.44</v>
      </c>
      <c r="E7" s="61">
        <v>3856.86</v>
      </c>
      <c r="F7" s="219"/>
      <c r="G7" s="219"/>
      <c r="H7" s="7">
        <f>6*3</f>
        <v>18</v>
      </c>
      <c r="I7" s="103">
        <f t="shared" si="0"/>
        <v>208.08</v>
      </c>
      <c r="J7" s="104">
        <f t="shared" si="1"/>
        <v>3745.44</v>
      </c>
      <c r="R7" s="178">
        <v>3745.44</v>
      </c>
      <c r="S7" s="178">
        <v>3856.86</v>
      </c>
      <c r="T7" s="181"/>
    </row>
    <row r="8" spans="1:20" x14ac:dyDescent="0.2">
      <c r="A8" s="171">
        <v>4059012885</v>
      </c>
      <c r="B8" s="2" t="s">
        <v>140</v>
      </c>
      <c r="C8" s="1" t="s">
        <v>5</v>
      </c>
      <c r="D8" s="61">
        <v>5434.56</v>
      </c>
      <c r="E8" s="61">
        <v>5596.2</v>
      </c>
      <c r="F8" s="219"/>
      <c r="G8" s="219"/>
      <c r="H8" s="7">
        <v>36</v>
      </c>
      <c r="I8" s="103">
        <f t="shared" si="0"/>
        <v>150.96</v>
      </c>
      <c r="J8" s="104">
        <f t="shared" si="1"/>
        <v>5434.56</v>
      </c>
      <c r="R8" s="178">
        <v>5434.56</v>
      </c>
      <c r="S8" s="178">
        <v>5596.2</v>
      </c>
      <c r="T8" s="181"/>
    </row>
    <row r="9" spans="1:20" x14ac:dyDescent="0.2">
      <c r="A9" s="171">
        <v>4059028038</v>
      </c>
      <c r="B9" s="2" t="s">
        <v>141</v>
      </c>
      <c r="C9" s="1" t="s">
        <v>6</v>
      </c>
      <c r="D9" s="105">
        <v>2426.6</v>
      </c>
      <c r="E9" s="105">
        <v>2498.56</v>
      </c>
      <c r="F9" s="219">
        <f>VLOOKUP(A9,'Step 1 - Order Planner'!$C$26:$E$32,3,FALSE)+VLOOKUP(A9,'Step 1 - Order Planner'!$C$26:$G$32,5,FALSE)</f>
        <v>0</v>
      </c>
      <c r="G9" s="219">
        <f t="shared" ref="G9:G19" si="2">F9*D9</f>
        <v>0</v>
      </c>
      <c r="H9" s="7">
        <f>4*30.5</f>
        <v>122</v>
      </c>
      <c r="I9" s="103">
        <f t="shared" si="0"/>
        <v>19.89016393442623</v>
      </c>
      <c r="J9" s="104">
        <f t="shared" si="1"/>
        <v>2426.6</v>
      </c>
      <c r="R9" s="178">
        <v>2426.6</v>
      </c>
      <c r="S9" s="178">
        <v>2498.56</v>
      </c>
      <c r="T9" s="181"/>
    </row>
    <row r="10" spans="1:20" x14ac:dyDescent="0.2">
      <c r="A10" s="171">
        <v>4059028040</v>
      </c>
      <c r="B10" s="2" t="s">
        <v>141</v>
      </c>
      <c r="C10" s="1" t="s">
        <v>24</v>
      </c>
      <c r="D10" s="61">
        <v>7894.8</v>
      </c>
      <c r="E10" s="61">
        <v>8129.66</v>
      </c>
      <c r="F10" s="219">
        <f>VLOOKUP(A10,'Step 1 - Order Planner'!$C$26:$E$32,3,FALSE)+VLOOKUP(A10,'Step 1 - Order Planner'!$C$26:$G$32,5,FALSE)</f>
        <v>0</v>
      </c>
      <c r="G10" s="219">
        <f t="shared" si="2"/>
        <v>0</v>
      </c>
      <c r="H10" s="7">
        <v>5</v>
      </c>
      <c r="I10" s="103">
        <f t="shared" si="0"/>
        <v>1578.96</v>
      </c>
      <c r="J10" s="104">
        <f t="shared" si="1"/>
        <v>7894.8</v>
      </c>
      <c r="R10" s="178">
        <v>7894.8</v>
      </c>
      <c r="S10" s="178">
        <v>8129.66</v>
      </c>
      <c r="T10" s="181"/>
    </row>
    <row r="11" spans="1:20" x14ac:dyDescent="0.2">
      <c r="A11" s="171">
        <v>4059027998</v>
      </c>
      <c r="B11" s="2" t="s">
        <v>142</v>
      </c>
      <c r="C11" s="1" t="s">
        <v>26</v>
      </c>
      <c r="D11" s="61">
        <v>2635.08</v>
      </c>
      <c r="E11" s="61">
        <v>2713.2</v>
      </c>
      <c r="F11" s="219">
        <f>VLOOKUP(A11,'Step 1 - Order Planner'!$C$26:$E$32,3,FALSE)+VLOOKUP(A11,'Step 1 - Order Planner'!$C$26:$G$32,5,FALSE)</f>
        <v>0</v>
      </c>
      <c r="G11" s="219">
        <f t="shared" si="2"/>
        <v>0</v>
      </c>
      <c r="H11" s="7">
        <f>4*21</f>
        <v>84</v>
      </c>
      <c r="I11" s="103">
        <f t="shared" si="0"/>
        <v>31.369999999999997</v>
      </c>
      <c r="J11" s="104">
        <f t="shared" si="1"/>
        <v>2635.08</v>
      </c>
      <c r="R11" s="178">
        <v>2635.08</v>
      </c>
      <c r="S11" s="178">
        <v>2713.2</v>
      </c>
      <c r="T11" s="181"/>
    </row>
    <row r="12" spans="1:20" x14ac:dyDescent="0.2">
      <c r="A12" s="171">
        <v>4059018087</v>
      </c>
      <c r="B12" s="2" t="s">
        <v>143</v>
      </c>
      <c r="C12" s="1" t="s">
        <v>120</v>
      </c>
      <c r="D12" s="61">
        <v>997.36</v>
      </c>
      <c r="E12" s="61">
        <v>1027.52</v>
      </c>
      <c r="F12" s="219"/>
      <c r="G12" s="219"/>
      <c r="H12" s="7">
        <f>4*26</f>
        <v>104</v>
      </c>
      <c r="I12" s="103">
        <f t="shared" si="0"/>
        <v>9.59</v>
      </c>
      <c r="J12" s="104">
        <f t="shared" si="1"/>
        <v>997.36</v>
      </c>
      <c r="R12" s="178">
        <v>997.36</v>
      </c>
      <c r="S12" s="178">
        <v>1027.52</v>
      </c>
      <c r="T12" s="181"/>
    </row>
    <row r="13" spans="1:20" x14ac:dyDescent="0.2">
      <c r="A13" s="171">
        <v>4059018071</v>
      </c>
      <c r="B13" s="2" t="s">
        <v>143</v>
      </c>
      <c r="C13" s="1" t="s">
        <v>24</v>
      </c>
      <c r="D13" s="61">
        <v>4896</v>
      </c>
      <c r="E13" s="61">
        <v>5041.66</v>
      </c>
      <c r="F13" s="219"/>
      <c r="G13" s="219"/>
      <c r="H13" s="7">
        <v>5</v>
      </c>
      <c r="I13" s="103">
        <f t="shared" si="0"/>
        <v>979.2</v>
      </c>
      <c r="J13" s="104">
        <f t="shared" si="1"/>
        <v>4896</v>
      </c>
      <c r="R13" s="178">
        <v>4896</v>
      </c>
      <c r="S13" s="178">
        <v>5041.66</v>
      </c>
      <c r="T13" s="181"/>
    </row>
    <row r="14" spans="1:20" x14ac:dyDescent="0.2">
      <c r="A14" s="171">
        <v>4059018094</v>
      </c>
      <c r="B14" s="3" t="s">
        <v>144</v>
      </c>
      <c r="C14" s="1" t="s">
        <v>121</v>
      </c>
      <c r="D14" s="61">
        <v>2415.36</v>
      </c>
      <c r="E14" s="61">
        <v>2487.88</v>
      </c>
      <c r="F14" s="219"/>
      <c r="G14" s="219"/>
      <c r="H14" s="7">
        <f>4*37</f>
        <v>148</v>
      </c>
      <c r="I14" s="103">
        <f t="shared" si="0"/>
        <v>16.32</v>
      </c>
      <c r="J14" s="104">
        <f t="shared" si="1"/>
        <v>2415.36</v>
      </c>
      <c r="R14" s="178">
        <v>2415.36</v>
      </c>
      <c r="S14" s="178">
        <v>2487.88</v>
      </c>
      <c r="T14" s="181"/>
    </row>
    <row r="15" spans="1:20" x14ac:dyDescent="0.2">
      <c r="A15" s="171">
        <v>4059018095</v>
      </c>
      <c r="B15" s="3" t="s">
        <v>144</v>
      </c>
      <c r="C15" s="8" t="s">
        <v>24</v>
      </c>
      <c r="D15" s="61">
        <v>7650</v>
      </c>
      <c r="E15" s="61">
        <v>7877.6</v>
      </c>
      <c r="F15" s="219"/>
      <c r="G15" s="219"/>
      <c r="H15" s="7">
        <v>5</v>
      </c>
      <c r="I15" s="103">
        <f t="shared" si="0"/>
        <v>1530</v>
      </c>
      <c r="J15" s="104">
        <f t="shared" si="1"/>
        <v>7650</v>
      </c>
      <c r="R15" s="178">
        <v>7650</v>
      </c>
      <c r="S15" s="178">
        <v>7877.6</v>
      </c>
      <c r="T15" s="181"/>
    </row>
    <row r="16" spans="1:20" x14ac:dyDescent="0.2">
      <c r="A16" s="171">
        <v>4059026395</v>
      </c>
      <c r="B16" s="3" t="s">
        <v>205</v>
      </c>
      <c r="C16" s="8" t="s">
        <v>246</v>
      </c>
      <c r="D16" s="61">
        <v>959.16</v>
      </c>
      <c r="E16" s="61">
        <f>D16</f>
        <v>959.16</v>
      </c>
      <c r="F16" s="219">
        <f>VLOOKUP(A16,'Step 1 - Order Planner'!$C$26:$E$32,3,FALSE)+VLOOKUP(A16,'Step 1 - Order Planner'!$C$26:$G$32,5,FALSE)</f>
        <v>0</v>
      </c>
      <c r="G16" s="219">
        <f t="shared" si="2"/>
        <v>0</v>
      </c>
      <c r="I16" s="103"/>
      <c r="J16" s="104"/>
      <c r="R16" s="178"/>
      <c r="S16" s="178"/>
      <c r="T16" s="181"/>
    </row>
    <row r="17" spans="1:20" x14ac:dyDescent="0.2">
      <c r="A17" s="171">
        <v>4059032585</v>
      </c>
      <c r="B17" s="3" t="s">
        <v>205</v>
      </c>
      <c r="C17" s="8" t="s">
        <v>247</v>
      </c>
      <c r="D17" s="61">
        <v>1270.4000000000001</v>
      </c>
      <c r="E17" s="61">
        <f>D17</f>
        <v>1270.4000000000001</v>
      </c>
      <c r="F17" s="219">
        <f>VLOOKUP(A17,'Step 1 - Order Planner'!$C$26:$E$32,3,FALSE)+VLOOKUP(A17,'Step 1 - Order Planner'!$C$26:$G$32,5,FALSE)</f>
        <v>0</v>
      </c>
      <c r="G17" s="219">
        <f t="shared" si="2"/>
        <v>0</v>
      </c>
      <c r="I17" s="103"/>
      <c r="J17" s="104"/>
      <c r="R17" s="178"/>
      <c r="S17" s="178"/>
      <c r="T17" s="181"/>
    </row>
    <row r="18" spans="1:20" x14ac:dyDescent="0.2">
      <c r="A18" s="171">
        <v>4059013833</v>
      </c>
      <c r="B18" s="2" t="s">
        <v>145</v>
      </c>
      <c r="C18" s="1" t="s">
        <v>20</v>
      </c>
      <c r="D18" s="61">
        <v>3775.68</v>
      </c>
      <c r="E18" s="61">
        <v>3887.4</v>
      </c>
      <c r="F18" s="219">
        <f>VLOOKUP(A18,'Step 1 - Order Planner'!$C$26:$E$32,3,FALSE)+VLOOKUP(A18,'Step 1 - Order Planner'!$C$26:$G$32,5,FALSE)</f>
        <v>0</v>
      </c>
      <c r="G18" s="219">
        <f t="shared" si="2"/>
        <v>0</v>
      </c>
      <c r="H18" s="7">
        <f>2*114</f>
        <v>228</v>
      </c>
      <c r="I18" s="103">
        <f t="shared" si="0"/>
        <v>16.559999999999999</v>
      </c>
      <c r="J18" s="104">
        <f t="shared" si="1"/>
        <v>3775.68</v>
      </c>
      <c r="R18" s="178">
        <v>3775.68</v>
      </c>
      <c r="S18" s="178">
        <v>3887.4</v>
      </c>
      <c r="T18" s="181"/>
    </row>
    <row r="19" spans="1:20" x14ac:dyDescent="0.2">
      <c r="A19" s="171">
        <v>4059014120</v>
      </c>
      <c r="B19" s="2" t="s">
        <v>145</v>
      </c>
      <c r="C19" s="1" t="s">
        <v>9</v>
      </c>
      <c r="D19" s="61">
        <v>904.24</v>
      </c>
      <c r="E19" s="61">
        <v>931.16</v>
      </c>
      <c r="F19" s="219">
        <f>VLOOKUP(A19,'Step 1 - Order Planner'!$C$26:$E$32,3,FALSE)+VLOOKUP(A19,'Step 1 - Order Planner'!$C$26:$G$32,5,FALSE)</f>
        <v>0</v>
      </c>
      <c r="G19" s="219">
        <f t="shared" si="2"/>
        <v>0</v>
      </c>
      <c r="H19" s="7">
        <f>4*11.4</f>
        <v>45.6</v>
      </c>
      <c r="I19" s="103">
        <f t="shared" si="0"/>
        <v>19.829824561403509</v>
      </c>
      <c r="J19" s="104">
        <f t="shared" si="1"/>
        <v>904.24</v>
      </c>
      <c r="L19" s="104"/>
      <c r="M19" s="104"/>
      <c r="R19" s="178">
        <v>904.24</v>
      </c>
      <c r="S19" s="178">
        <v>931.16</v>
      </c>
      <c r="T19" s="181"/>
    </row>
    <row r="20" spans="1:20" x14ac:dyDescent="0.2">
      <c r="A20" s="141"/>
      <c r="B20" s="140"/>
      <c r="C20" s="139"/>
      <c r="D20" s="142">
        <f>SUM(D3:D19)</f>
        <v>54049.420000000006</v>
      </c>
      <c r="E20" s="142">
        <f>SUM(E3:E19)</f>
        <v>55591.780000000013</v>
      </c>
      <c r="F20" s="220">
        <f>SUM(F3:F19)</f>
        <v>0</v>
      </c>
      <c r="G20" s="220">
        <f>SUM(G3:G19)</f>
        <v>0</v>
      </c>
      <c r="I20" s="103"/>
      <c r="J20" s="104"/>
      <c r="L20" s="104"/>
      <c r="M20" s="104"/>
      <c r="R20" s="178"/>
      <c r="S20" s="178"/>
    </row>
    <row r="21" spans="1:20" x14ac:dyDescent="0.2">
      <c r="A21" s="306" t="s">
        <v>241</v>
      </c>
      <c r="B21" s="306"/>
      <c r="C21" s="306"/>
      <c r="D21" s="306"/>
      <c r="E21" s="306"/>
      <c r="F21" s="218"/>
      <c r="G21" s="218"/>
      <c r="I21" s="103"/>
      <c r="R21" s="178"/>
      <c r="S21" s="178"/>
    </row>
    <row r="22" spans="1:20" x14ac:dyDescent="0.2">
      <c r="A22" s="4" t="s">
        <v>1</v>
      </c>
      <c r="B22" s="4" t="s">
        <v>10</v>
      </c>
      <c r="C22" s="4" t="s">
        <v>0</v>
      </c>
      <c r="D22" s="4" t="s">
        <v>56</v>
      </c>
      <c r="E22" s="4" t="s">
        <v>209</v>
      </c>
      <c r="F22" s="221" t="s">
        <v>259</v>
      </c>
      <c r="G22" s="221" t="s">
        <v>260</v>
      </c>
      <c r="I22" s="103"/>
      <c r="R22" s="178"/>
      <c r="S22" s="178"/>
    </row>
    <row r="23" spans="1:20" x14ac:dyDescent="0.2">
      <c r="A23" s="171">
        <v>4059014151</v>
      </c>
      <c r="B23" s="5" t="s">
        <v>154</v>
      </c>
      <c r="C23" s="6" t="s">
        <v>122</v>
      </c>
      <c r="D23" s="178">
        <v>300.92</v>
      </c>
      <c r="E23" s="61">
        <f>D23</f>
        <v>300.92</v>
      </c>
      <c r="F23" s="219">
        <f>VLOOKUP(A23,'Step 1 - Order Planner'!$C$36:$E$65,3,FALSE)</f>
        <v>0</v>
      </c>
      <c r="G23" s="219">
        <f t="shared" ref="G23:G55" si="3">F23*D23</f>
        <v>0</v>
      </c>
      <c r="H23" s="7">
        <v>4</v>
      </c>
      <c r="I23" s="103">
        <f t="shared" ref="I23:I55" si="4">J23/H23</f>
        <v>75.23</v>
      </c>
      <c r="J23" s="104">
        <f t="shared" ref="J23:J55" si="5">D23</f>
        <v>300.92</v>
      </c>
      <c r="R23" s="178"/>
      <c r="S23" s="178"/>
      <c r="T23" s="178">
        <v>240.72</v>
      </c>
    </row>
    <row r="24" spans="1:20" x14ac:dyDescent="0.2">
      <c r="A24" s="171">
        <v>4059024020</v>
      </c>
      <c r="B24" s="5" t="s">
        <v>187</v>
      </c>
      <c r="C24" s="6" t="s">
        <v>198</v>
      </c>
      <c r="D24" s="105">
        <v>2979.7000000000003</v>
      </c>
      <c r="E24" s="134" t="s">
        <v>210</v>
      </c>
      <c r="F24" s="219"/>
      <c r="G24" s="219"/>
      <c r="H24" s="7">
        <f>10*38</f>
        <v>380</v>
      </c>
      <c r="I24" s="103">
        <f t="shared" si="4"/>
        <v>7.8413157894736853</v>
      </c>
      <c r="J24" s="104">
        <f t="shared" si="5"/>
        <v>2979.7000000000003</v>
      </c>
      <c r="R24" s="178">
        <v>2979.7</v>
      </c>
      <c r="S24" s="178" t="e">
        <v>#N/A</v>
      </c>
      <c r="T24" s="178"/>
    </row>
    <row r="25" spans="1:20" x14ac:dyDescent="0.2">
      <c r="A25" s="171">
        <v>4059021451</v>
      </c>
      <c r="B25" s="5" t="s">
        <v>89</v>
      </c>
      <c r="C25" s="6" t="s">
        <v>90</v>
      </c>
      <c r="D25" s="178">
        <v>669.38</v>
      </c>
      <c r="E25" s="61">
        <f>D25</f>
        <v>669.38</v>
      </c>
      <c r="F25" s="219">
        <f>VLOOKUP(A25,'Step 1 - Order Planner'!$C$36:$E$65,3,FALSE)</f>
        <v>0</v>
      </c>
      <c r="G25" s="219">
        <f t="shared" si="3"/>
        <v>0</v>
      </c>
      <c r="H25" s="7">
        <v>25</v>
      </c>
      <c r="I25" s="103">
        <f t="shared" si="4"/>
        <v>26.775199999999998</v>
      </c>
      <c r="J25" s="104">
        <f t="shared" si="5"/>
        <v>669.38</v>
      </c>
      <c r="R25" s="178"/>
      <c r="S25" s="178"/>
      <c r="T25" s="178">
        <v>535.5</v>
      </c>
    </row>
    <row r="26" spans="1:20" x14ac:dyDescent="0.2">
      <c r="A26" s="171">
        <v>4059011636</v>
      </c>
      <c r="B26" s="10" t="s">
        <v>152</v>
      </c>
      <c r="C26" s="6" t="s">
        <v>123</v>
      </c>
      <c r="D26" s="105">
        <v>130.06</v>
      </c>
      <c r="E26" s="134" t="s">
        <v>210</v>
      </c>
      <c r="F26" s="219"/>
      <c r="G26" s="219"/>
      <c r="H26" s="7">
        <v>2</v>
      </c>
      <c r="I26" s="103">
        <f t="shared" si="4"/>
        <v>65.03</v>
      </c>
      <c r="J26" s="104">
        <f t="shared" si="5"/>
        <v>130.06</v>
      </c>
      <c r="R26" s="178"/>
      <c r="S26" s="178"/>
      <c r="T26" s="178">
        <v>104.04</v>
      </c>
    </row>
    <row r="27" spans="1:20" x14ac:dyDescent="0.2">
      <c r="A27" s="171">
        <v>4059013424</v>
      </c>
      <c r="B27" s="10" t="s">
        <v>167</v>
      </c>
      <c r="C27" s="6" t="s">
        <v>122</v>
      </c>
      <c r="D27" s="61">
        <v>515.12</v>
      </c>
      <c r="E27" s="61">
        <f>D27</f>
        <v>515.12</v>
      </c>
      <c r="F27" s="219">
        <f>VLOOKUP(A27,'Step 1 - Order Planner'!$C$36:$E$65,3,FALSE)</f>
        <v>0</v>
      </c>
      <c r="G27" s="219">
        <f t="shared" si="3"/>
        <v>0</v>
      </c>
      <c r="H27" s="7">
        <v>4</v>
      </c>
      <c r="I27" s="103">
        <f t="shared" si="4"/>
        <v>128.78</v>
      </c>
      <c r="J27" s="104">
        <f t="shared" si="5"/>
        <v>515.12</v>
      </c>
      <c r="R27" s="178"/>
      <c r="S27" s="178"/>
      <c r="T27" s="178">
        <v>412.08</v>
      </c>
    </row>
    <row r="28" spans="1:20" x14ac:dyDescent="0.2">
      <c r="A28" s="171">
        <v>4059030455</v>
      </c>
      <c r="B28" s="10" t="s">
        <v>153</v>
      </c>
      <c r="C28" s="6" t="s">
        <v>124</v>
      </c>
      <c r="D28" s="61">
        <v>232.72</v>
      </c>
      <c r="E28" s="61">
        <f>D28</f>
        <v>232.72</v>
      </c>
      <c r="F28" s="219">
        <f>VLOOKUP(A28,'Step 1 - Order Planner'!$C$36:$E$65,3,FALSE)</f>
        <v>0</v>
      </c>
      <c r="G28" s="219">
        <f t="shared" si="3"/>
        <v>0</v>
      </c>
      <c r="H28" s="7">
        <f>4*0.5</f>
        <v>2</v>
      </c>
      <c r="I28" s="103">
        <f t="shared" si="4"/>
        <v>116.36</v>
      </c>
      <c r="J28" s="104">
        <f t="shared" si="5"/>
        <v>232.72</v>
      </c>
      <c r="R28" s="178"/>
      <c r="S28" s="178"/>
      <c r="T28" s="178">
        <v>186.16</v>
      </c>
    </row>
    <row r="29" spans="1:20" x14ac:dyDescent="0.2">
      <c r="A29" s="171">
        <v>4059030454</v>
      </c>
      <c r="B29" s="10" t="s">
        <v>153</v>
      </c>
      <c r="C29" s="6" t="s">
        <v>24</v>
      </c>
      <c r="D29" s="61">
        <v>540.32000000000005</v>
      </c>
      <c r="E29" s="61">
        <f>D29</f>
        <v>540.32000000000005</v>
      </c>
      <c r="F29" s="219">
        <f>VLOOKUP(A29,'Step 1 - Order Planner'!$C$36:$E$65,3,FALSE)</f>
        <v>0</v>
      </c>
      <c r="G29" s="219">
        <f t="shared" si="3"/>
        <v>0</v>
      </c>
      <c r="I29" s="103"/>
      <c r="J29" s="104">
        <f t="shared" si="5"/>
        <v>540.32000000000005</v>
      </c>
      <c r="R29" s="178"/>
      <c r="S29" s="178"/>
      <c r="T29" s="178">
        <v>432.25</v>
      </c>
    </row>
    <row r="30" spans="1:20" x14ac:dyDescent="0.2">
      <c r="A30" s="9"/>
      <c r="B30" s="10" t="s">
        <v>175</v>
      </c>
      <c r="C30" s="6" t="s">
        <v>24</v>
      </c>
      <c r="D30" s="182"/>
      <c r="E30" s="182"/>
      <c r="F30" s="219"/>
      <c r="G30" s="219"/>
      <c r="H30" s="7">
        <v>5</v>
      </c>
      <c r="I30" s="103">
        <f t="shared" ref="I30" si="6">J30/H30</f>
        <v>0</v>
      </c>
      <c r="J30" s="104">
        <f t="shared" si="5"/>
        <v>0</v>
      </c>
      <c r="L30" s="135" t="s">
        <v>188</v>
      </c>
      <c r="M30" s="135" t="s">
        <v>219</v>
      </c>
      <c r="R30" s="178"/>
      <c r="S30" s="178"/>
      <c r="T30" s="178"/>
    </row>
    <row r="31" spans="1:20" x14ac:dyDescent="0.2">
      <c r="A31" s="9"/>
      <c r="B31" s="10" t="s">
        <v>137</v>
      </c>
      <c r="C31" s="85" t="s">
        <v>3</v>
      </c>
      <c r="D31" s="182"/>
      <c r="E31" s="182"/>
      <c r="F31" s="219"/>
      <c r="G31" s="219"/>
      <c r="H31" s="7">
        <v>50</v>
      </c>
      <c r="I31" s="103">
        <f t="shared" si="4"/>
        <v>0</v>
      </c>
      <c r="J31" s="104">
        <f t="shared" si="5"/>
        <v>0</v>
      </c>
      <c r="L31" s="9">
        <v>59013674</v>
      </c>
      <c r="M31" s="10" t="s">
        <v>155</v>
      </c>
      <c r="N31" s="6" t="s">
        <v>3</v>
      </c>
      <c r="O31" s="135" t="s">
        <v>227</v>
      </c>
      <c r="R31" s="178"/>
      <c r="S31" s="178"/>
      <c r="T31" s="178"/>
    </row>
    <row r="32" spans="1:20" x14ac:dyDescent="0.2">
      <c r="A32" s="171">
        <v>4059030464</v>
      </c>
      <c r="B32" s="10" t="s">
        <v>146</v>
      </c>
      <c r="C32" s="6" t="s">
        <v>24</v>
      </c>
      <c r="D32" s="61">
        <v>446.26</v>
      </c>
      <c r="E32" s="61">
        <f>D32</f>
        <v>446.26</v>
      </c>
      <c r="F32" s="219">
        <f>VLOOKUP(A32,'Step 1 - Order Planner'!$C$36:$E$65,3,FALSE)</f>
        <v>0</v>
      </c>
      <c r="G32" s="219">
        <f t="shared" si="3"/>
        <v>0</v>
      </c>
      <c r="H32" s="7">
        <v>5</v>
      </c>
      <c r="I32" s="103">
        <f t="shared" si="4"/>
        <v>89.251999999999995</v>
      </c>
      <c r="J32" s="104">
        <f t="shared" si="5"/>
        <v>446.26</v>
      </c>
      <c r="R32" s="178"/>
      <c r="S32" s="178"/>
      <c r="T32" s="178">
        <v>357</v>
      </c>
    </row>
    <row r="33" spans="1:20" x14ac:dyDescent="0.2">
      <c r="A33" s="171">
        <v>4059030456</v>
      </c>
      <c r="B33" s="10" t="s">
        <v>132</v>
      </c>
      <c r="C33" s="6" t="s">
        <v>122</v>
      </c>
      <c r="D33" s="61">
        <v>938.4</v>
      </c>
      <c r="E33" s="61">
        <f>D33</f>
        <v>938.4</v>
      </c>
      <c r="F33" s="219">
        <f>VLOOKUP(A33,'Step 1 - Order Planner'!$C$36:$E$65,3,FALSE)</f>
        <v>0</v>
      </c>
      <c r="G33" s="219">
        <f t="shared" si="3"/>
        <v>0</v>
      </c>
      <c r="H33" s="7">
        <v>4</v>
      </c>
      <c r="I33" s="103">
        <f t="shared" si="4"/>
        <v>234.6</v>
      </c>
      <c r="J33" s="104">
        <f t="shared" si="5"/>
        <v>938.4</v>
      </c>
      <c r="R33" s="178"/>
      <c r="S33" s="178"/>
      <c r="T33" s="178">
        <v>750.72</v>
      </c>
    </row>
    <row r="34" spans="1:20" x14ac:dyDescent="0.2">
      <c r="A34" s="171">
        <v>4059023772</v>
      </c>
      <c r="B34" s="10" t="s">
        <v>132</v>
      </c>
      <c r="C34" s="6" t="s">
        <v>95</v>
      </c>
      <c r="D34" s="61">
        <v>2715.75</v>
      </c>
      <c r="E34" s="61">
        <f>D34</f>
        <v>2715.75</v>
      </c>
      <c r="F34" s="219">
        <f>VLOOKUP(A34,'Step 1 - Order Planner'!$C$36:$E$65,3,FALSE)</f>
        <v>0</v>
      </c>
      <c r="G34" s="219">
        <f t="shared" si="3"/>
        <v>0</v>
      </c>
      <c r="H34" s="7">
        <v>1</v>
      </c>
      <c r="I34" s="103">
        <f t="shared" si="4"/>
        <v>2715.75</v>
      </c>
      <c r="J34" s="104">
        <f t="shared" si="5"/>
        <v>2715.75</v>
      </c>
      <c r="R34" s="178"/>
      <c r="S34" s="178"/>
      <c r="T34" s="178">
        <v>2172.6</v>
      </c>
    </row>
    <row r="35" spans="1:20" x14ac:dyDescent="0.2">
      <c r="A35" s="171">
        <v>4059030457</v>
      </c>
      <c r="B35" s="10" t="s">
        <v>147</v>
      </c>
      <c r="C35" s="6" t="s">
        <v>122</v>
      </c>
      <c r="D35" s="61">
        <v>846.6</v>
      </c>
      <c r="E35" s="61">
        <f>D35</f>
        <v>846.6</v>
      </c>
      <c r="F35" s="219">
        <f>VLOOKUP(A35,'Step 1 - Order Planner'!$C$36:$E$65,3,FALSE)</f>
        <v>0</v>
      </c>
      <c r="G35" s="219">
        <f t="shared" si="3"/>
        <v>0</v>
      </c>
      <c r="H35" s="7">
        <v>4</v>
      </c>
      <c r="I35" s="103">
        <f t="shared" si="4"/>
        <v>211.65</v>
      </c>
      <c r="J35" s="104">
        <f t="shared" si="5"/>
        <v>846.6</v>
      </c>
      <c r="R35" s="178"/>
      <c r="S35" s="178"/>
      <c r="T35" s="178">
        <v>677.28</v>
      </c>
    </row>
    <row r="36" spans="1:20" ht="14.25" x14ac:dyDescent="0.2">
      <c r="A36" s="183"/>
      <c r="B36" s="184" t="s">
        <v>189</v>
      </c>
      <c r="C36" s="185" t="s">
        <v>186</v>
      </c>
      <c r="D36" s="186"/>
      <c r="E36" s="187">
        <f>D36</f>
        <v>0</v>
      </c>
      <c r="F36" s="219"/>
      <c r="G36" s="219"/>
      <c r="H36" s="7">
        <f>4*122</f>
        <v>488</v>
      </c>
      <c r="I36" s="103">
        <f t="shared" si="4"/>
        <v>0</v>
      </c>
      <c r="J36" s="104">
        <f t="shared" si="5"/>
        <v>0</v>
      </c>
      <c r="L36" s="135" t="s">
        <v>188</v>
      </c>
      <c r="M36" s="135" t="s">
        <v>217</v>
      </c>
      <c r="R36" s="178"/>
      <c r="S36" s="178"/>
      <c r="T36" s="178"/>
    </row>
    <row r="37" spans="1:20" x14ac:dyDescent="0.2">
      <c r="A37" s="206">
        <v>4059014379</v>
      </c>
      <c r="B37" s="207" t="s">
        <v>149</v>
      </c>
      <c r="C37" s="208" t="s">
        <v>171</v>
      </c>
      <c r="D37" s="209">
        <v>684.8</v>
      </c>
      <c r="E37" s="209">
        <v>705.28</v>
      </c>
      <c r="F37" s="219">
        <f>VLOOKUP(A37,'Step 1 - Order Planner'!$C$36:$E$65,3,FALSE)</f>
        <v>0</v>
      </c>
      <c r="G37" s="219">
        <f t="shared" si="3"/>
        <v>0</v>
      </c>
      <c r="H37" s="7">
        <f>4*16</f>
        <v>64</v>
      </c>
      <c r="I37" s="103">
        <f t="shared" si="4"/>
        <v>10.7</v>
      </c>
      <c r="J37" s="104">
        <f t="shared" si="5"/>
        <v>684.8</v>
      </c>
      <c r="R37" s="178">
        <v>684.8</v>
      </c>
      <c r="S37" s="178">
        <v>705.28</v>
      </c>
      <c r="T37" s="178"/>
    </row>
    <row r="38" spans="1:20" x14ac:dyDescent="0.2">
      <c r="A38" s="206">
        <v>4059012349</v>
      </c>
      <c r="B38" s="207" t="s">
        <v>131</v>
      </c>
      <c r="C38" s="208" t="s">
        <v>7</v>
      </c>
      <c r="D38" s="209">
        <v>483.28</v>
      </c>
      <c r="E38" s="209">
        <v>497.64</v>
      </c>
      <c r="F38" s="219">
        <f>VLOOKUP(A38,'Step 1 - Order Planner'!$C$36:$E$65,3,FALSE)</f>
        <v>0</v>
      </c>
      <c r="G38" s="219">
        <f t="shared" si="3"/>
        <v>0</v>
      </c>
      <c r="H38" s="7">
        <v>4</v>
      </c>
      <c r="I38" s="103">
        <f t="shared" si="4"/>
        <v>120.82</v>
      </c>
      <c r="J38" s="104">
        <f t="shared" si="5"/>
        <v>483.28</v>
      </c>
      <c r="R38" s="178">
        <v>483.28</v>
      </c>
      <c r="S38" s="178">
        <v>497.64</v>
      </c>
      <c r="T38" s="178"/>
    </row>
    <row r="39" spans="1:20" x14ac:dyDescent="0.2">
      <c r="A39" s="201">
        <v>4059017972</v>
      </c>
      <c r="B39" s="202" t="s">
        <v>150</v>
      </c>
      <c r="C39" s="195" t="s">
        <v>99</v>
      </c>
      <c r="D39" s="203">
        <v>54.25</v>
      </c>
      <c r="E39" s="196">
        <f>D39</f>
        <v>54.25</v>
      </c>
      <c r="F39" s="219">
        <f>VLOOKUP(A39,'Step 1 - Order Planner'!$C$36:$E$65,3,FALSE)</f>
        <v>0</v>
      </c>
      <c r="G39" s="219">
        <f t="shared" si="3"/>
        <v>0</v>
      </c>
      <c r="H39" s="7">
        <v>20</v>
      </c>
      <c r="I39" s="103">
        <f t="shared" si="4"/>
        <v>2.7124999999999999</v>
      </c>
      <c r="J39" s="104">
        <f t="shared" si="5"/>
        <v>54.25</v>
      </c>
      <c r="R39" s="178"/>
      <c r="S39" s="178"/>
      <c r="T39" s="178">
        <v>43.4</v>
      </c>
    </row>
    <row r="40" spans="1:20" x14ac:dyDescent="0.2">
      <c r="A40" s="171">
        <v>4059015072</v>
      </c>
      <c r="B40" s="10" t="s">
        <v>150</v>
      </c>
      <c r="C40" s="6" t="s">
        <v>91</v>
      </c>
      <c r="D40" s="179">
        <v>95.5</v>
      </c>
      <c r="E40" s="61">
        <f>D40</f>
        <v>95.5</v>
      </c>
      <c r="F40" s="219">
        <f>VLOOKUP(A40,'Step 1 - Order Planner'!$C$36:$E$65,3,FALSE)</f>
        <v>0</v>
      </c>
      <c r="G40" s="219">
        <f t="shared" si="3"/>
        <v>0</v>
      </c>
      <c r="H40" s="7">
        <v>40</v>
      </c>
      <c r="I40" s="103">
        <f t="shared" si="4"/>
        <v>2.3875000000000002</v>
      </c>
      <c r="J40" s="104">
        <f t="shared" si="5"/>
        <v>95.5</v>
      </c>
      <c r="R40" s="178"/>
      <c r="S40" s="178"/>
      <c r="T40" s="178">
        <v>76.400000000000006</v>
      </c>
    </row>
    <row r="41" spans="1:20" x14ac:dyDescent="0.2">
      <c r="A41" s="199">
        <v>4059049276</v>
      </c>
      <c r="B41" s="189" t="s">
        <v>138</v>
      </c>
      <c r="C41" s="190" t="s">
        <v>24</v>
      </c>
      <c r="D41" s="200">
        <v>299.62</v>
      </c>
      <c r="E41" s="191">
        <f>D41</f>
        <v>299.62</v>
      </c>
      <c r="F41" s="219">
        <f>VLOOKUP(A41,'Step 1 - Order Planner'!$C$36:$E$65,3,FALSE)</f>
        <v>0</v>
      </c>
      <c r="G41" s="219">
        <f t="shared" si="3"/>
        <v>0</v>
      </c>
      <c r="H41" s="7">
        <v>5</v>
      </c>
      <c r="I41" s="103">
        <f t="shared" si="4"/>
        <v>59.923999999999999</v>
      </c>
      <c r="J41" s="104">
        <f t="shared" si="5"/>
        <v>299.62</v>
      </c>
      <c r="R41" s="178"/>
      <c r="S41" s="178"/>
      <c r="T41" s="178">
        <v>239.7</v>
      </c>
    </row>
    <row r="42" spans="1:20" x14ac:dyDescent="0.2">
      <c r="A42" s="206">
        <v>4059011279</v>
      </c>
      <c r="B42" s="207" t="s">
        <v>138</v>
      </c>
      <c r="C42" s="208" t="s">
        <v>8</v>
      </c>
      <c r="D42" s="209">
        <v>1071</v>
      </c>
      <c r="E42" s="209">
        <v>1102.8</v>
      </c>
      <c r="F42" s="219">
        <f>VLOOKUP(A42,'Step 1 - Order Planner'!$C$36:$E$65,3,FALSE)</f>
        <v>0</v>
      </c>
      <c r="G42" s="219">
        <f t="shared" si="3"/>
        <v>0</v>
      </c>
      <c r="H42" s="7">
        <v>15</v>
      </c>
      <c r="I42" s="103">
        <f t="shared" si="4"/>
        <v>71.400000000000006</v>
      </c>
      <c r="J42" s="104">
        <f t="shared" si="5"/>
        <v>1071</v>
      </c>
      <c r="R42" s="178">
        <v>1071</v>
      </c>
      <c r="S42" s="178">
        <v>1102.8</v>
      </c>
      <c r="T42" s="178"/>
    </row>
    <row r="43" spans="1:20" x14ac:dyDescent="0.2">
      <c r="A43" s="201">
        <v>4059017959</v>
      </c>
      <c r="B43" s="204" t="s">
        <v>148</v>
      </c>
      <c r="C43" s="205" t="s">
        <v>93</v>
      </c>
      <c r="D43" s="196">
        <v>63.94</v>
      </c>
      <c r="E43" s="196">
        <f>D43</f>
        <v>63.94</v>
      </c>
      <c r="F43" s="219">
        <f>VLOOKUP(A43,'Step 1 - Order Planner'!$C$36:$E$65,3,FALSE)</f>
        <v>0</v>
      </c>
      <c r="G43" s="219">
        <f t="shared" si="3"/>
        <v>0</v>
      </c>
      <c r="H43" s="7">
        <v>15</v>
      </c>
      <c r="I43" s="103">
        <f t="shared" si="4"/>
        <v>4.2626666666666662</v>
      </c>
      <c r="J43" s="104">
        <f t="shared" si="5"/>
        <v>63.94</v>
      </c>
      <c r="L43" s="177" t="s">
        <v>188</v>
      </c>
      <c r="M43" s="177" t="s">
        <v>238</v>
      </c>
      <c r="R43" s="178"/>
      <c r="S43" s="178"/>
      <c r="T43" s="178">
        <v>51.15</v>
      </c>
    </row>
    <row r="44" spans="1:20" x14ac:dyDescent="0.2">
      <c r="A44" s="171">
        <v>4059012784</v>
      </c>
      <c r="B44" s="2" t="s">
        <v>148</v>
      </c>
      <c r="C44" s="1" t="s">
        <v>92</v>
      </c>
      <c r="D44" s="180">
        <v>118.5</v>
      </c>
      <c r="E44" s="61">
        <f>D44</f>
        <v>118.5</v>
      </c>
      <c r="F44" s="219">
        <f>VLOOKUP(A44,'Step 1 - Order Planner'!$C$36:$E$65,3,FALSE)</f>
        <v>0</v>
      </c>
      <c r="G44" s="219">
        <f t="shared" si="3"/>
        <v>0</v>
      </c>
      <c r="H44" s="7">
        <v>30</v>
      </c>
      <c r="I44" s="103">
        <f t="shared" si="4"/>
        <v>3.95</v>
      </c>
      <c r="J44" s="104">
        <f t="shared" si="5"/>
        <v>118.5</v>
      </c>
      <c r="L44" s="177" t="s">
        <v>188</v>
      </c>
      <c r="M44" s="177" t="s">
        <v>238</v>
      </c>
      <c r="R44" s="178"/>
      <c r="S44" s="178"/>
      <c r="T44" s="178">
        <v>94.8</v>
      </c>
    </row>
    <row r="45" spans="1:20" x14ac:dyDescent="0.2">
      <c r="A45" s="183"/>
      <c r="B45" s="184" t="s">
        <v>205</v>
      </c>
      <c r="C45" s="185" t="s">
        <v>185</v>
      </c>
      <c r="D45" s="186"/>
      <c r="E45" s="187"/>
      <c r="F45" s="219"/>
      <c r="G45" s="219"/>
      <c r="H45" s="7">
        <f>4*43.5</f>
        <v>174</v>
      </c>
      <c r="I45" s="103">
        <f t="shared" si="4"/>
        <v>0</v>
      </c>
      <c r="J45" s="104">
        <f t="shared" si="5"/>
        <v>0</v>
      </c>
      <c r="L45" s="135" t="s">
        <v>188</v>
      </c>
      <c r="M45" s="135" t="s">
        <v>218</v>
      </c>
      <c r="N45" s="177" t="s">
        <v>238</v>
      </c>
      <c r="R45" s="178"/>
      <c r="S45" s="178"/>
      <c r="T45" s="178"/>
    </row>
    <row r="46" spans="1:20" x14ac:dyDescent="0.2">
      <c r="A46" s="210">
        <v>4059018005</v>
      </c>
      <c r="B46" s="207" t="s">
        <v>151</v>
      </c>
      <c r="C46" s="208" t="s">
        <v>172</v>
      </c>
      <c r="D46" s="209">
        <v>1697.28</v>
      </c>
      <c r="E46" s="209">
        <v>1747.84</v>
      </c>
      <c r="F46" s="219">
        <f>VLOOKUP(A46,'Step 1 - Order Planner'!$C$36:$E$65,3,FALSE)</f>
        <v>0</v>
      </c>
      <c r="G46" s="219">
        <f t="shared" si="3"/>
        <v>0</v>
      </c>
      <c r="H46" s="7">
        <v>16</v>
      </c>
      <c r="I46" s="103">
        <f t="shared" si="4"/>
        <v>106.08</v>
      </c>
      <c r="J46" s="104">
        <f t="shared" si="5"/>
        <v>1697.28</v>
      </c>
      <c r="R46" s="178">
        <v>1697.28</v>
      </c>
      <c r="S46" s="178">
        <v>1747.84</v>
      </c>
      <c r="T46" s="178"/>
    </row>
    <row r="47" spans="1:20" x14ac:dyDescent="0.2">
      <c r="A47" s="193">
        <v>4059014427</v>
      </c>
      <c r="B47" s="194" t="s">
        <v>135</v>
      </c>
      <c r="C47" s="195" t="s">
        <v>24</v>
      </c>
      <c r="D47" s="196">
        <v>1787.5</v>
      </c>
      <c r="E47" s="197" t="s">
        <v>210</v>
      </c>
      <c r="F47" s="219"/>
      <c r="G47" s="219"/>
      <c r="H47" s="7">
        <v>5</v>
      </c>
      <c r="I47" s="103">
        <f t="shared" si="4"/>
        <v>357.5</v>
      </c>
      <c r="J47" s="104">
        <f t="shared" si="5"/>
        <v>1787.5</v>
      </c>
      <c r="R47" s="178"/>
      <c r="S47" s="178"/>
      <c r="T47" s="178">
        <v>1430</v>
      </c>
    </row>
    <row r="48" spans="1:20" x14ac:dyDescent="0.2">
      <c r="A48" s="188">
        <v>4059011057</v>
      </c>
      <c r="B48" s="189" t="s">
        <v>134</v>
      </c>
      <c r="C48" s="190" t="s">
        <v>94</v>
      </c>
      <c r="D48" s="191">
        <v>334.69</v>
      </c>
      <c r="E48" s="191">
        <f>D48</f>
        <v>334.69</v>
      </c>
      <c r="F48" s="219">
        <f>VLOOKUP(A48,'Step 1 - Order Planner'!$C$36:$E$65,3,FALSE)</f>
        <v>0</v>
      </c>
      <c r="G48" s="219">
        <f t="shared" si="3"/>
        <v>0</v>
      </c>
      <c r="H48" s="7">
        <v>15</v>
      </c>
      <c r="I48" s="103">
        <f t="shared" si="4"/>
        <v>22.312666666666665</v>
      </c>
      <c r="J48" s="104">
        <f t="shared" si="5"/>
        <v>334.69</v>
      </c>
      <c r="R48" s="178"/>
      <c r="S48" s="178"/>
      <c r="T48" s="178">
        <v>267.75</v>
      </c>
    </row>
    <row r="49" spans="1:20" x14ac:dyDescent="0.2">
      <c r="A49" s="210">
        <v>4059023753</v>
      </c>
      <c r="B49" s="207" t="s">
        <v>136</v>
      </c>
      <c r="C49" s="208" t="s">
        <v>125</v>
      </c>
      <c r="D49" s="209">
        <v>775.2</v>
      </c>
      <c r="E49" s="209">
        <v>798.28</v>
      </c>
      <c r="F49" s="219">
        <f>VLOOKUP(A49,'Step 1 - Order Planner'!$C$36:$E$65,3,FALSE)</f>
        <v>0</v>
      </c>
      <c r="G49" s="219">
        <f t="shared" si="3"/>
        <v>0</v>
      </c>
      <c r="H49" s="7">
        <f>4*0.125</f>
        <v>0.5</v>
      </c>
      <c r="I49" s="103">
        <f t="shared" si="4"/>
        <v>1550.4</v>
      </c>
      <c r="J49" s="104">
        <f t="shared" si="5"/>
        <v>775.2</v>
      </c>
      <c r="R49" s="178">
        <v>775.2</v>
      </c>
      <c r="S49" s="178">
        <v>798.28</v>
      </c>
      <c r="T49" s="178"/>
    </row>
    <row r="50" spans="1:20" x14ac:dyDescent="0.2">
      <c r="A50" s="210">
        <v>4059032487</v>
      </c>
      <c r="B50" s="207" t="s">
        <v>133</v>
      </c>
      <c r="C50" s="208" t="s">
        <v>24</v>
      </c>
      <c r="D50" s="209">
        <v>2208.3000000000002</v>
      </c>
      <c r="E50" s="209">
        <v>2274</v>
      </c>
      <c r="F50" s="219">
        <f>VLOOKUP(A50,'Step 1 - Order Planner'!$C$36:$E$65,3,FALSE)</f>
        <v>0</v>
      </c>
      <c r="G50" s="219">
        <f t="shared" si="3"/>
        <v>0</v>
      </c>
      <c r="H50" s="7">
        <v>5</v>
      </c>
      <c r="I50" s="103">
        <f t="shared" si="4"/>
        <v>441.66</v>
      </c>
      <c r="J50" s="104">
        <f t="shared" si="5"/>
        <v>2208.3000000000002</v>
      </c>
      <c r="L50" s="177" t="s">
        <v>188</v>
      </c>
      <c r="M50" s="177" t="s">
        <v>238</v>
      </c>
      <c r="R50" s="178">
        <v>2208.3000000000002</v>
      </c>
      <c r="S50" s="178">
        <v>2274</v>
      </c>
      <c r="T50" s="178"/>
    </row>
    <row r="51" spans="1:20" x14ac:dyDescent="0.2">
      <c r="A51" s="193">
        <v>4059013723</v>
      </c>
      <c r="B51" s="198" t="s">
        <v>168</v>
      </c>
      <c r="C51" s="195" t="s">
        <v>126</v>
      </c>
      <c r="D51" s="196">
        <v>292.56</v>
      </c>
      <c r="E51" s="196">
        <f t="shared" ref="E51:E54" si="7">D51</f>
        <v>292.56</v>
      </c>
      <c r="F51" s="219">
        <f>VLOOKUP(A51,'Step 1 - Order Planner'!$C$36:$E$65,3,FALSE)</f>
        <v>0</v>
      </c>
      <c r="G51" s="219">
        <f t="shared" si="3"/>
        <v>0</v>
      </c>
      <c r="H51" s="7">
        <f>12*0.25</f>
        <v>3</v>
      </c>
      <c r="I51" s="103">
        <f t="shared" si="4"/>
        <v>97.52</v>
      </c>
      <c r="J51" s="104">
        <f t="shared" si="5"/>
        <v>292.56</v>
      </c>
      <c r="L51" s="7" t="s">
        <v>222</v>
      </c>
      <c r="R51" s="178"/>
      <c r="S51" s="178"/>
      <c r="T51" s="178">
        <v>234.09</v>
      </c>
    </row>
    <row r="52" spans="1:20" x14ac:dyDescent="0.2">
      <c r="A52" s="172">
        <v>4059013314</v>
      </c>
      <c r="B52" s="11" t="s">
        <v>168</v>
      </c>
      <c r="C52" s="6" t="s">
        <v>95</v>
      </c>
      <c r="D52" s="61">
        <v>1836</v>
      </c>
      <c r="E52" s="61">
        <f t="shared" si="7"/>
        <v>1836</v>
      </c>
      <c r="F52" s="219">
        <f>VLOOKUP(A52,'Step 1 - Order Planner'!$C$36:$E$65,3,FALSE)</f>
        <v>0</v>
      </c>
      <c r="G52" s="219">
        <f t="shared" si="3"/>
        <v>0</v>
      </c>
      <c r="H52" s="7">
        <v>30</v>
      </c>
      <c r="I52" s="103">
        <f t="shared" si="4"/>
        <v>61.2</v>
      </c>
      <c r="J52" s="104">
        <f t="shared" si="5"/>
        <v>1836</v>
      </c>
      <c r="L52" s="7" t="s">
        <v>222</v>
      </c>
      <c r="R52" s="178"/>
      <c r="S52" s="178"/>
      <c r="T52" s="178">
        <v>1468.8</v>
      </c>
    </row>
    <row r="53" spans="1:20" x14ac:dyDescent="0.2">
      <c r="A53" s="172">
        <v>4059030213</v>
      </c>
      <c r="B53" s="11" t="s">
        <v>168</v>
      </c>
      <c r="C53" s="6" t="s">
        <v>24</v>
      </c>
      <c r="D53" s="61">
        <v>328.32</v>
      </c>
      <c r="E53" s="61">
        <f t="shared" si="7"/>
        <v>328.32</v>
      </c>
      <c r="F53" s="219">
        <f>VLOOKUP(A53,'Step 1 - Order Planner'!$C$36:$E$65,3,FALSE)</f>
        <v>0</v>
      </c>
      <c r="G53" s="219">
        <f t="shared" si="3"/>
        <v>0</v>
      </c>
      <c r="H53" s="7">
        <v>5</v>
      </c>
      <c r="I53" s="103">
        <f t="shared" si="4"/>
        <v>65.664000000000001</v>
      </c>
      <c r="J53" s="104">
        <f t="shared" si="5"/>
        <v>328.32</v>
      </c>
      <c r="R53" s="178"/>
      <c r="S53" s="178"/>
      <c r="T53" s="178">
        <v>262.64999999999998</v>
      </c>
    </row>
    <row r="54" spans="1:20" x14ac:dyDescent="0.2">
      <c r="A54" s="188">
        <v>4059013420</v>
      </c>
      <c r="B54" s="192" t="s">
        <v>168</v>
      </c>
      <c r="C54" s="190" t="s">
        <v>122</v>
      </c>
      <c r="D54" s="191">
        <v>280.52</v>
      </c>
      <c r="E54" s="191">
        <f t="shared" si="7"/>
        <v>280.52</v>
      </c>
      <c r="F54" s="219">
        <f>VLOOKUP(A54,'Step 1 - Order Planner'!$C$36:$E$65,3,FALSE)</f>
        <v>0</v>
      </c>
      <c r="G54" s="219">
        <f t="shared" si="3"/>
        <v>0</v>
      </c>
      <c r="H54" s="7">
        <v>4</v>
      </c>
      <c r="I54" s="103">
        <f t="shared" si="4"/>
        <v>70.13</v>
      </c>
      <c r="J54" s="104">
        <f t="shared" si="5"/>
        <v>280.52</v>
      </c>
      <c r="R54" s="178"/>
      <c r="S54" s="178"/>
      <c r="T54" s="178">
        <v>224.4</v>
      </c>
    </row>
    <row r="55" spans="1:20" x14ac:dyDescent="0.2">
      <c r="A55" s="210">
        <v>4059014680</v>
      </c>
      <c r="B55" s="211" t="s">
        <v>170</v>
      </c>
      <c r="C55" s="208" t="s">
        <v>127</v>
      </c>
      <c r="D55" s="212">
        <v>1442.4</v>
      </c>
      <c r="E55" s="209">
        <v>1485.6</v>
      </c>
      <c r="F55" s="219">
        <f>VLOOKUP(A55,'Step 1 - Order Planner'!$C$36:$E$65,3,FALSE)</f>
        <v>0</v>
      </c>
      <c r="G55" s="219">
        <f t="shared" si="3"/>
        <v>0</v>
      </c>
      <c r="H55" s="7">
        <f>4*20</f>
        <v>80</v>
      </c>
      <c r="I55" s="103">
        <f t="shared" si="4"/>
        <v>18.03</v>
      </c>
      <c r="J55" s="104">
        <f t="shared" si="5"/>
        <v>1442.4</v>
      </c>
      <c r="R55" s="178">
        <v>1442.4</v>
      </c>
      <c r="S55" s="178">
        <v>1485.6</v>
      </c>
    </row>
    <row r="56" spans="1:20" x14ac:dyDescent="0.2">
      <c r="D56" s="143">
        <f>SUM(D23:D55)</f>
        <v>24168.890000000003</v>
      </c>
      <c r="E56" s="143">
        <f>SUM(E23:E55)</f>
        <v>19520.810000000001</v>
      </c>
      <c r="F56" s="143">
        <f>SUM(F23:F55)</f>
        <v>0</v>
      </c>
      <c r="G56" s="143">
        <f>SUM(G23:G55)</f>
        <v>0</v>
      </c>
    </row>
    <row r="57" spans="1:20" x14ac:dyDescent="0.2">
      <c r="L57" s="104"/>
    </row>
  </sheetData>
  <mergeCells count="2">
    <mergeCell ref="A1:E1"/>
    <mergeCell ref="A21:E21"/>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A22" sqref="A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307" t="s">
        <v>12</v>
      </c>
      <c r="B2" s="307"/>
      <c r="C2" s="19"/>
      <c r="D2" s="18"/>
      <c r="E2" s="18">
        <v>4</v>
      </c>
      <c r="F2" s="18">
        <v>5</v>
      </c>
      <c r="G2" s="18">
        <v>6</v>
      </c>
      <c r="H2" s="18">
        <v>7</v>
      </c>
      <c r="I2" s="18"/>
      <c r="J2" s="18"/>
    </row>
    <row r="3" spans="1:18" x14ac:dyDescent="0.2">
      <c r="A3" s="90" t="s">
        <v>13</v>
      </c>
      <c r="B3" s="91" t="s">
        <v>14</v>
      </c>
      <c r="C3" s="92" t="s">
        <v>15</v>
      </c>
      <c r="D3" s="90" t="s">
        <v>16</v>
      </c>
      <c r="E3" s="90" t="s">
        <v>17</v>
      </c>
      <c r="F3" s="90" t="s">
        <v>54</v>
      </c>
      <c r="G3" s="90" t="s">
        <v>158</v>
      </c>
      <c r="H3" s="90" t="s">
        <v>18</v>
      </c>
      <c r="I3" s="18"/>
      <c r="J3" s="18"/>
      <c r="K3" s="90" t="s">
        <v>17</v>
      </c>
      <c r="L3" s="90" t="s">
        <v>54</v>
      </c>
      <c r="M3" s="90" t="s">
        <v>18</v>
      </c>
    </row>
    <row r="4" spans="1:18" x14ac:dyDescent="0.2">
      <c r="A4" s="2" t="s">
        <v>213</v>
      </c>
      <c r="B4" s="20">
        <v>4059026671</v>
      </c>
      <c r="C4" s="1" t="s">
        <v>24</v>
      </c>
      <c r="D4" s="97"/>
      <c r="E4" s="88"/>
      <c r="F4" s="88"/>
      <c r="G4" s="88"/>
      <c r="H4" s="167">
        <f>640/43.5</f>
        <v>14.712643678160919</v>
      </c>
      <c r="I4" s="18"/>
      <c r="J4" s="18"/>
      <c r="K4" s="22"/>
      <c r="L4" s="22"/>
      <c r="M4" s="167">
        <f>640/43.5</f>
        <v>14.712643678160919</v>
      </c>
    </row>
    <row r="5" spans="1:18" x14ac:dyDescent="0.2">
      <c r="A5" s="2" t="s">
        <v>213</v>
      </c>
      <c r="B5" s="20">
        <v>4059032979</v>
      </c>
      <c r="C5" s="1" t="s">
        <v>221</v>
      </c>
      <c r="D5" s="97"/>
      <c r="E5" s="88"/>
      <c r="F5" s="88"/>
      <c r="G5" s="88"/>
      <c r="H5" s="167">
        <f>174/43.5</f>
        <v>4</v>
      </c>
      <c r="I5" s="18"/>
      <c r="J5" s="18"/>
      <c r="K5" s="22"/>
      <c r="L5" s="22"/>
      <c r="M5" s="167">
        <f>174/43.5</f>
        <v>4</v>
      </c>
    </row>
    <row r="6" spans="1:18" x14ac:dyDescent="0.2">
      <c r="A6" s="89" t="s">
        <v>82</v>
      </c>
      <c r="B6" s="20">
        <v>4059021463</v>
      </c>
      <c r="C6" s="21" t="s">
        <v>22</v>
      </c>
      <c r="D6" s="97"/>
      <c r="E6" s="88"/>
      <c r="F6" s="88"/>
      <c r="G6" s="88"/>
      <c r="H6" s="167">
        <v>10</v>
      </c>
      <c r="I6" s="18"/>
      <c r="J6" s="18"/>
      <c r="K6" s="22">
        <v>13.9</v>
      </c>
      <c r="L6" s="22">
        <v>12</v>
      </c>
      <c r="M6" s="22">
        <v>10</v>
      </c>
      <c r="Q6">
        <v>5</v>
      </c>
      <c r="R6" t="s">
        <v>224</v>
      </c>
    </row>
    <row r="7" spans="1:18" x14ac:dyDescent="0.2">
      <c r="A7" s="89" t="s">
        <v>82</v>
      </c>
      <c r="B7" s="20">
        <v>4059012825</v>
      </c>
      <c r="C7" s="21" t="s">
        <v>23</v>
      </c>
      <c r="D7" s="97"/>
      <c r="E7" s="88"/>
      <c r="F7" s="88"/>
      <c r="G7" s="88"/>
      <c r="H7" s="167">
        <v>50</v>
      </c>
      <c r="I7" s="18"/>
      <c r="J7" s="18"/>
      <c r="K7" s="22">
        <v>69.3</v>
      </c>
      <c r="L7" s="22">
        <v>60</v>
      </c>
      <c r="M7" s="22">
        <v>50</v>
      </c>
      <c r="Q7">
        <v>640</v>
      </c>
      <c r="R7" t="s">
        <v>225</v>
      </c>
    </row>
    <row r="8" spans="1:18" x14ac:dyDescent="0.2">
      <c r="A8" s="89" t="s">
        <v>173</v>
      </c>
      <c r="B8" s="20">
        <v>4059014003</v>
      </c>
      <c r="C8" s="113" t="s">
        <v>24</v>
      </c>
      <c r="D8" s="97"/>
      <c r="E8" s="88"/>
      <c r="F8" s="22">
        <v>4.9000000000000004</v>
      </c>
      <c r="G8" s="22">
        <v>4.2</v>
      </c>
      <c r="H8" s="168">
        <v>3.7</v>
      </c>
      <c r="I8" s="18"/>
      <c r="J8" s="18"/>
      <c r="K8" s="108">
        <v>99</v>
      </c>
      <c r="L8" s="108">
        <v>99</v>
      </c>
      <c r="M8" s="108">
        <v>99</v>
      </c>
    </row>
    <row r="9" spans="1:18" x14ac:dyDescent="0.2">
      <c r="A9" s="89" t="s">
        <v>83</v>
      </c>
      <c r="B9" s="20">
        <v>4059012885</v>
      </c>
      <c r="C9" s="21" t="s">
        <v>5</v>
      </c>
      <c r="D9" s="97"/>
      <c r="E9" s="88"/>
      <c r="F9" s="88"/>
      <c r="G9" s="88"/>
      <c r="H9" s="167">
        <v>12</v>
      </c>
      <c r="I9" s="18"/>
      <c r="J9" s="18"/>
      <c r="K9" s="22">
        <v>24</v>
      </c>
      <c r="L9" s="22">
        <v>18</v>
      </c>
      <c r="M9" s="22">
        <v>12</v>
      </c>
      <c r="Q9">
        <f>4*43.5</f>
        <v>174</v>
      </c>
    </row>
    <row r="10" spans="1:18" x14ac:dyDescent="0.2">
      <c r="A10" s="89" t="s">
        <v>83</v>
      </c>
      <c r="B10" s="20">
        <v>4059012350</v>
      </c>
      <c r="C10" s="21" t="s">
        <v>4</v>
      </c>
      <c r="D10" s="97"/>
      <c r="E10" s="88"/>
      <c r="F10" s="88"/>
      <c r="G10" s="88"/>
      <c r="H10" s="167">
        <v>6</v>
      </c>
      <c r="I10" s="18"/>
      <c r="J10" s="18"/>
      <c r="K10" s="22">
        <v>12</v>
      </c>
      <c r="L10" s="22">
        <v>9</v>
      </c>
      <c r="M10" s="22">
        <v>6</v>
      </c>
    </row>
    <row r="11" spans="1:18" x14ac:dyDescent="0.2">
      <c r="A11" s="89" t="s">
        <v>84</v>
      </c>
      <c r="B11" s="20">
        <v>4059028040</v>
      </c>
      <c r="C11" s="21" t="s">
        <v>24</v>
      </c>
      <c r="D11" s="97"/>
      <c r="E11" s="101"/>
      <c r="F11" s="101"/>
      <c r="G11" s="101"/>
      <c r="H11" s="169">
        <v>21</v>
      </c>
      <c r="I11" s="18"/>
      <c r="J11" s="18"/>
      <c r="K11" s="22">
        <v>36.799999999999997</v>
      </c>
      <c r="L11" s="22">
        <v>28.9</v>
      </c>
      <c r="M11" s="22">
        <v>21</v>
      </c>
      <c r="Q11">
        <f>Q7/Q9</f>
        <v>3.6781609195402298</v>
      </c>
    </row>
    <row r="12" spans="1:18" x14ac:dyDescent="0.2">
      <c r="A12" s="89" t="s">
        <v>84</v>
      </c>
      <c r="B12" s="20">
        <v>4059028038</v>
      </c>
      <c r="C12" s="21" t="s">
        <v>29</v>
      </c>
      <c r="D12" s="97"/>
      <c r="E12" s="88"/>
      <c r="F12" s="88"/>
      <c r="G12" s="88"/>
      <c r="H12" s="168">
        <v>4</v>
      </c>
      <c r="I12" s="18"/>
      <c r="J12" s="18"/>
      <c r="K12" s="22">
        <v>7</v>
      </c>
      <c r="L12" s="22">
        <v>5.5</v>
      </c>
      <c r="M12" s="22">
        <v>4</v>
      </c>
    </row>
    <row r="13" spans="1:18" x14ac:dyDescent="0.2">
      <c r="A13" s="89" t="s">
        <v>85</v>
      </c>
      <c r="B13" s="20">
        <v>4059027998</v>
      </c>
      <c r="C13" s="21" t="s">
        <v>26</v>
      </c>
      <c r="D13" s="97"/>
      <c r="E13" s="88"/>
      <c r="F13" s="88"/>
      <c r="G13" s="88"/>
      <c r="H13" s="167">
        <v>4</v>
      </c>
      <c r="I13" s="18"/>
      <c r="J13" s="18"/>
      <c r="K13" s="22">
        <v>5.68</v>
      </c>
      <c r="L13" s="22">
        <v>4.84</v>
      </c>
      <c r="M13" s="22">
        <v>4</v>
      </c>
    </row>
    <row r="14" spans="1:18" x14ac:dyDescent="0.2">
      <c r="A14" s="89" t="s">
        <v>128</v>
      </c>
      <c r="B14" s="20">
        <v>4059018087</v>
      </c>
      <c r="C14" s="21" t="s">
        <v>97</v>
      </c>
      <c r="D14" s="97"/>
      <c r="E14" s="22">
        <v>12</v>
      </c>
      <c r="F14" s="22">
        <v>6</v>
      </c>
      <c r="G14" s="22">
        <v>4</v>
      </c>
      <c r="H14" s="167">
        <v>3</v>
      </c>
      <c r="I14" s="18"/>
      <c r="J14" s="18"/>
      <c r="K14" s="22">
        <v>12</v>
      </c>
      <c r="L14" s="22">
        <v>6</v>
      </c>
      <c r="M14" s="22">
        <v>3</v>
      </c>
    </row>
    <row r="15" spans="1:18" x14ac:dyDescent="0.2">
      <c r="A15" s="89" t="s">
        <v>109</v>
      </c>
      <c r="B15" s="20">
        <v>4059018071</v>
      </c>
      <c r="C15" s="21" t="s">
        <v>24</v>
      </c>
      <c r="D15" s="97"/>
      <c r="E15" s="22">
        <v>73.5</v>
      </c>
      <c r="F15" s="22">
        <v>36</v>
      </c>
      <c r="G15" s="22">
        <v>24.6</v>
      </c>
      <c r="H15" s="170">
        <v>18</v>
      </c>
      <c r="I15" s="18"/>
      <c r="J15" s="18"/>
      <c r="K15" s="22">
        <v>73.5</v>
      </c>
      <c r="L15" s="22">
        <v>36</v>
      </c>
      <c r="M15" s="22">
        <v>18</v>
      </c>
    </row>
    <row r="16" spans="1:18" x14ac:dyDescent="0.2">
      <c r="A16" s="89" t="s">
        <v>129</v>
      </c>
      <c r="B16" s="20">
        <v>4059018094</v>
      </c>
      <c r="C16" s="113" t="s">
        <v>121</v>
      </c>
      <c r="D16" s="97"/>
      <c r="E16" s="88"/>
      <c r="F16" s="88"/>
      <c r="G16" s="88"/>
      <c r="H16" s="167">
        <v>4</v>
      </c>
      <c r="I16" s="18"/>
      <c r="J16" s="18"/>
      <c r="K16" s="22"/>
      <c r="L16" s="22">
        <v>5</v>
      </c>
      <c r="M16" s="22">
        <v>4</v>
      </c>
    </row>
    <row r="17" spans="1:14" x14ac:dyDescent="0.2">
      <c r="A17" s="89" t="s">
        <v>108</v>
      </c>
      <c r="B17" s="20">
        <v>4059018095</v>
      </c>
      <c r="C17" s="114" t="s">
        <v>24</v>
      </c>
      <c r="D17" s="97"/>
      <c r="E17" s="88"/>
      <c r="F17" s="88"/>
      <c r="G17" s="88"/>
      <c r="H17" s="167">
        <v>17</v>
      </c>
      <c r="I17" s="18"/>
      <c r="J17" s="18"/>
      <c r="K17" s="22"/>
      <c r="L17" s="22">
        <v>21</v>
      </c>
      <c r="M17" s="22">
        <v>17</v>
      </c>
    </row>
    <row r="18" spans="1:14" x14ac:dyDescent="0.2">
      <c r="A18" s="2" t="s">
        <v>107</v>
      </c>
      <c r="B18" s="20">
        <v>4059017959</v>
      </c>
      <c r="C18" s="21" t="s">
        <v>94</v>
      </c>
      <c r="D18" s="97"/>
      <c r="E18" s="101"/>
      <c r="F18" s="101"/>
      <c r="G18" s="101"/>
      <c r="H18" s="101"/>
      <c r="I18" s="18"/>
      <c r="J18" s="18"/>
      <c r="K18" s="22">
        <v>0.11</v>
      </c>
      <c r="L18" s="22">
        <v>0.11</v>
      </c>
      <c r="M18" s="22">
        <v>0.11</v>
      </c>
    </row>
    <row r="19" spans="1:14" x14ac:dyDescent="0.2">
      <c r="A19" s="2" t="s">
        <v>107</v>
      </c>
      <c r="B19" s="20">
        <v>4059012784</v>
      </c>
      <c r="C19" s="21" t="s">
        <v>53</v>
      </c>
      <c r="D19" s="97"/>
      <c r="E19" s="101"/>
      <c r="F19" s="101"/>
      <c r="G19" s="101"/>
      <c r="H19" s="101"/>
      <c r="I19" s="18"/>
      <c r="J19" s="18"/>
      <c r="K19" s="22">
        <v>0.22</v>
      </c>
      <c r="L19" s="22">
        <v>0.22</v>
      </c>
      <c r="M19" s="22">
        <v>0.22</v>
      </c>
    </row>
    <row r="20" spans="1:14" x14ac:dyDescent="0.2">
      <c r="A20" s="89" t="s">
        <v>86</v>
      </c>
      <c r="B20" s="20">
        <v>4059013833</v>
      </c>
      <c r="C20" s="21" t="s">
        <v>20</v>
      </c>
      <c r="D20" s="97"/>
      <c r="E20" s="101"/>
      <c r="F20" s="22">
        <v>32.799999999999997</v>
      </c>
      <c r="G20" s="22">
        <v>25</v>
      </c>
      <c r="H20" s="22">
        <v>20</v>
      </c>
      <c r="I20" s="18"/>
      <c r="J20" s="18"/>
      <c r="K20" s="22">
        <v>32.799999999999997</v>
      </c>
      <c r="L20" s="22">
        <v>24.95</v>
      </c>
      <c r="M20" s="22">
        <v>20</v>
      </c>
    </row>
    <row r="21" spans="1:14" x14ac:dyDescent="0.2">
      <c r="A21" s="89" t="s">
        <v>87</v>
      </c>
      <c r="B21" s="20">
        <v>4059014120</v>
      </c>
      <c r="C21" s="21" t="s">
        <v>9</v>
      </c>
      <c r="D21" s="97"/>
      <c r="E21" s="10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0" t="s">
        <v>162</v>
      </c>
      <c r="B24" s="90" t="s">
        <v>106</v>
      </c>
      <c r="C24" s="90" t="s">
        <v>163</v>
      </c>
      <c r="E24">
        <v>43.5</v>
      </c>
    </row>
    <row r="25" spans="1:14" x14ac:dyDescent="0.2">
      <c r="A25" s="102" t="s">
        <v>214</v>
      </c>
      <c r="B25" s="102" t="s">
        <v>226</v>
      </c>
      <c r="C25" s="102"/>
    </row>
    <row r="26" spans="1:14" x14ac:dyDescent="0.2">
      <c r="A26" s="102" t="s">
        <v>21</v>
      </c>
      <c r="B26" s="102" t="str">
        <f>"8.0"&amp;" "&amp;F26</f>
        <v>8.0 oz</v>
      </c>
      <c r="C26" s="102" t="s">
        <v>161</v>
      </c>
      <c r="D26">
        <v>0.18</v>
      </c>
      <c r="E26" s="137">
        <f>D26*$E$24</f>
        <v>7.83</v>
      </c>
      <c r="F26" s="18" t="s">
        <v>199</v>
      </c>
      <c r="M26">
        <f>5*128</f>
        <v>640</v>
      </c>
      <c r="N26" s="155">
        <f>M26/43.6</f>
        <v>14.678899082568806</v>
      </c>
    </row>
    <row r="27" spans="1:14" x14ac:dyDescent="0.2">
      <c r="A27" s="102" t="s">
        <v>174</v>
      </c>
      <c r="B27" s="102" t="s">
        <v>184</v>
      </c>
      <c r="C27" s="102"/>
      <c r="E27" s="137"/>
    </row>
    <row r="28" spans="1:14" x14ac:dyDescent="0.2">
      <c r="A28" s="102" t="s">
        <v>174</v>
      </c>
      <c r="B28" s="102" t="s">
        <v>176</v>
      </c>
      <c r="C28" s="102">
        <v>5</v>
      </c>
      <c r="E28" s="137"/>
    </row>
    <row r="29" spans="1:14" x14ac:dyDescent="0.2">
      <c r="A29" s="102" t="s">
        <v>174</v>
      </c>
      <c r="B29" s="102" t="s">
        <v>177</v>
      </c>
      <c r="C29" s="102">
        <v>6</v>
      </c>
      <c r="E29" s="137"/>
      <c r="M29">
        <f>5*128</f>
        <v>640</v>
      </c>
    </row>
    <row r="30" spans="1:14" x14ac:dyDescent="0.2">
      <c r="A30" s="102" t="s">
        <v>174</v>
      </c>
      <c r="B30" s="102" t="s">
        <v>178</v>
      </c>
      <c r="C30" s="102">
        <v>7</v>
      </c>
      <c r="E30" s="137"/>
      <c r="M30">
        <f>M29/43.6</f>
        <v>14.678899082568806</v>
      </c>
    </row>
    <row r="31" spans="1:14" x14ac:dyDescent="0.2">
      <c r="A31" s="102" t="s">
        <v>27</v>
      </c>
      <c r="B31" s="102" t="str">
        <f>"48.0"&amp;" "&amp;F31</f>
        <v>48.0 oz</v>
      </c>
      <c r="C31" s="102" t="s">
        <v>161</v>
      </c>
      <c r="D31">
        <v>1.1000000000000001</v>
      </c>
      <c r="E31" s="137">
        <f>D31*$E$24</f>
        <v>47.85</v>
      </c>
      <c r="F31" s="18" t="s">
        <v>199</v>
      </c>
    </row>
    <row r="32" spans="1:14" x14ac:dyDescent="0.2">
      <c r="A32" s="102" t="s">
        <v>159</v>
      </c>
      <c r="B32" s="102" t="str">
        <f>30.5&amp;" "&amp;F32</f>
        <v>30.5 oz</v>
      </c>
      <c r="C32" s="102" t="s">
        <v>161</v>
      </c>
      <c r="D32">
        <v>0.7</v>
      </c>
      <c r="E32" s="137">
        <f>D32*$E$24</f>
        <v>30.45</v>
      </c>
      <c r="F32" s="18" t="s">
        <v>199</v>
      </c>
    </row>
    <row r="33" spans="1:13" x14ac:dyDescent="0.2">
      <c r="A33" s="102" t="s">
        <v>25</v>
      </c>
      <c r="B33" s="102" t="str">
        <f>"21.0"&amp;" "&amp;F33</f>
        <v>21.0 oz</v>
      </c>
      <c r="C33" s="102" t="s">
        <v>161</v>
      </c>
      <c r="D33">
        <v>0.47</v>
      </c>
      <c r="E33" s="137">
        <f>D33*$E$24</f>
        <v>20.445</v>
      </c>
      <c r="F33" s="18" t="s">
        <v>199</v>
      </c>
      <c r="M33" s="154">
        <f>0.07*M26</f>
        <v>44.800000000000004</v>
      </c>
    </row>
    <row r="34" spans="1:13" x14ac:dyDescent="0.2">
      <c r="A34" s="102" t="s">
        <v>105</v>
      </c>
      <c r="B34" s="102" t="str">
        <f>37.5&amp;" "&amp;F34</f>
        <v>37.5 oz</v>
      </c>
      <c r="C34" s="102" t="s">
        <v>161</v>
      </c>
      <c r="D34">
        <v>0.85</v>
      </c>
      <c r="E34" s="137">
        <f>D34*$E$24</f>
        <v>36.975000000000001</v>
      </c>
      <c r="F34" s="18" t="s">
        <v>199</v>
      </c>
    </row>
    <row r="35" spans="1:13" x14ac:dyDescent="0.2">
      <c r="A35" s="102" t="s">
        <v>104</v>
      </c>
      <c r="B35" s="102" t="s">
        <v>184</v>
      </c>
      <c r="C35" s="102"/>
      <c r="E35" s="137"/>
      <c r="M35">
        <f>0.07*M26</f>
        <v>44.800000000000004</v>
      </c>
    </row>
    <row r="36" spans="1:13" x14ac:dyDescent="0.2">
      <c r="A36" s="102" t="s">
        <v>104</v>
      </c>
      <c r="B36" s="102" t="str">
        <f t="shared" ref="B36:B39" si="0">E36&amp;" "&amp;F36</f>
        <v>8.7 oz</v>
      </c>
      <c r="C36" s="102">
        <v>4</v>
      </c>
      <c r="D36">
        <v>0.2</v>
      </c>
      <c r="E36" s="137">
        <f>D36*$E$24</f>
        <v>8.7000000000000011</v>
      </c>
      <c r="F36" s="18" t="s">
        <v>199</v>
      </c>
    </row>
    <row r="37" spans="1:13" x14ac:dyDescent="0.2">
      <c r="A37" s="102" t="s">
        <v>104</v>
      </c>
      <c r="B37" s="102" t="str">
        <f t="shared" si="0"/>
        <v>17.4 oz</v>
      </c>
      <c r="C37" s="102">
        <v>5</v>
      </c>
      <c r="D37">
        <v>0.4</v>
      </c>
      <c r="E37" s="137">
        <f>D37*$E$24</f>
        <v>17.400000000000002</v>
      </c>
      <c r="F37" s="18" t="s">
        <v>199</v>
      </c>
    </row>
    <row r="38" spans="1:13" x14ac:dyDescent="0.2">
      <c r="A38" s="102" t="s">
        <v>104</v>
      </c>
      <c r="B38" s="102" t="str">
        <f t="shared" si="0"/>
        <v>26.1 oz</v>
      </c>
      <c r="C38" s="102">
        <v>6</v>
      </c>
      <c r="D38">
        <v>0.6</v>
      </c>
      <c r="E38" s="137">
        <f>D38*$E$24</f>
        <v>26.099999999999998</v>
      </c>
      <c r="F38" s="18" t="s">
        <v>199</v>
      </c>
      <c r="M38">
        <f>640/43.6</f>
        <v>14.678899082568806</v>
      </c>
    </row>
    <row r="39" spans="1:13" x14ac:dyDescent="0.2">
      <c r="A39" s="102" t="s">
        <v>104</v>
      </c>
      <c r="B39" s="102" t="str">
        <f t="shared" si="0"/>
        <v>34.8 oz</v>
      </c>
      <c r="C39" s="102">
        <v>7</v>
      </c>
      <c r="D39">
        <v>0.8</v>
      </c>
      <c r="E39" s="137">
        <f>D39*$E$24</f>
        <v>34.800000000000004</v>
      </c>
      <c r="F39" s="18" t="s">
        <v>199</v>
      </c>
    </row>
    <row r="40" spans="1:13" x14ac:dyDescent="0.2">
      <c r="A40" s="102" t="s">
        <v>160</v>
      </c>
      <c r="B40" s="102" t="s">
        <v>184</v>
      </c>
      <c r="C40" s="102"/>
      <c r="E40" s="137"/>
    </row>
    <row r="41" spans="1:13" x14ac:dyDescent="0.2">
      <c r="A41" s="102" t="s">
        <v>160</v>
      </c>
      <c r="B41" s="102" t="str">
        <f>E41&amp;" "&amp;F41</f>
        <v>7 oz</v>
      </c>
      <c r="C41" s="102">
        <v>5</v>
      </c>
      <c r="E41" s="137">
        <v>7</v>
      </c>
      <c r="F41" s="18" t="s">
        <v>199</v>
      </c>
    </row>
    <row r="42" spans="1:13" x14ac:dyDescent="0.2">
      <c r="A42" s="102" t="s">
        <v>160</v>
      </c>
      <c r="B42" s="102" t="str">
        <f>E42&amp;" "&amp;F42</f>
        <v>9.2 oz</v>
      </c>
      <c r="C42" s="102">
        <v>6</v>
      </c>
      <c r="D42">
        <v>0.21</v>
      </c>
      <c r="E42" s="137">
        <v>9.1999999999999993</v>
      </c>
      <c r="F42" s="18" t="s">
        <v>199</v>
      </c>
    </row>
    <row r="43" spans="1:13" x14ac:dyDescent="0.2">
      <c r="A43" s="102" t="s">
        <v>160</v>
      </c>
      <c r="B43" s="102" t="str">
        <f t="shared" ref="B43" si="1">E43&amp;" "&amp;F43</f>
        <v>11.4 oz</v>
      </c>
      <c r="C43" s="102">
        <v>7</v>
      </c>
      <c r="D43">
        <v>0.26</v>
      </c>
      <c r="E43" s="137">
        <v>11.4</v>
      </c>
      <c r="F43" s="18" t="s">
        <v>199</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G9"/>
  <sheetViews>
    <sheetView workbookViewId="0">
      <selection activeCell="F32" sqref="F32"/>
    </sheetView>
  </sheetViews>
  <sheetFormatPr defaultRowHeight="12.75" x14ac:dyDescent="0.2"/>
  <cols>
    <col min="1" max="1" width="7.7109375" customWidth="1"/>
    <col min="2" max="4" width="25.7109375" customWidth="1"/>
    <col min="5" max="5" width="0.7109375" customWidth="1"/>
    <col min="6" max="7" width="25.7109375" customWidth="1"/>
  </cols>
  <sheetData>
    <row r="2" spans="2:7" ht="13.15" customHeight="1" x14ac:dyDescent="0.2">
      <c r="B2" s="310" t="s">
        <v>204</v>
      </c>
      <c r="C2" s="311"/>
      <c r="D2" s="311"/>
      <c r="F2" s="308" t="s">
        <v>208</v>
      </c>
      <c r="G2" s="309"/>
    </row>
    <row r="3" spans="2:7" ht="18" customHeight="1" x14ac:dyDescent="0.2">
      <c r="B3" s="317" t="s">
        <v>193</v>
      </c>
      <c r="C3" s="319" t="s">
        <v>183</v>
      </c>
      <c r="D3" s="320"/>
      <c r="E3" s="87"/>
      <c r="F3" s="321" t="s">
        <v>190</v>
      </c>
      <c r="G3" s="117" t="s">
        <v>183</v>
      </c>
    </row>
    <row r="4" spans="2:7" ht="18" customHeight="1" x14ac:dyDescent="0.2">
      <c r="B4" s="318"/>
      <c r="C4" s="116" t="s">
        <v>234</v>
      </c>
      <c r="D4" s="116" t="s">
        <v>235</v>
      </c>
      <c r="E4" s="87"/>
      <c r="F4" s="322"/>
      <c r="G4" s="118" t="s">
        <v>236</v>
      </c>
    </row>
    <row r="5" spans="2:7" x14ac:dyDescent="0.2">
      <c r="B5" s="119" t="s">
        <v>202</v>
      </c>
      <c r="C5" s="120">
        <v>0.08</v>
      </c>
      <c r="D5" s="120">
        <v>0.03</v>
      </c>
      <c r="E5" s="49"/>
      <c r="F5" s="119" t="s">
        <v>202</v>
      </c>
      <c r="G5" s="120">
        <v>0.04</v>
      </c>
    </row>
    <row r="6" spans="2:7" x14ac:dyDescent="0.2">
      <c r="B6" s="121" t="s">
        <v>201</v>
      </c>
      <c r="C6" s="122">
        <v>0.14000000000000001</v>
      </c>
      <c r="D6" s="122">
        <v>0.06</v>
      </c>
      <c r="E6" s="49"/>
      <c r="F6" s="121" t="s">
        <v>201</v>
      </c>
      <c r="G6" s="122">
        <v>0.06</v>
      </c>
    </row>
    <row r="7" spans="2:7" ht="13.15" customHeight="1" x14ac:dyDescent="0.2">
      <c r="B7" s="119" t="s">
        <v>248</v>
      </c>
      <c r="C7" s="120" t="s">
        <v>251</v>
      </c>
      <c r="D7" s="120" t="s">
        <v>254</v>
      </c>
      <c r="E7" s="49"/>
      <c r="F7" s="144" t="s">
        <v>203</v>
      </c>
      <c r="G7" s="312">
        <v>0.12</v>
      </c>
    </row>
    <row r="8" spans="2:7" x14ac:dyDescent="0.2">
      <c r="B8" s="121" t="s">
        <v>249</v>
      </c>
      <c r="C8" s="122" t="s">
        <v>252</v>
      </c>
      <c r="D8" s="122" t="s">
        <v>255</v>
      </c>
      <c r="E8" s="49"/>
      <c r="F8" s="315" t="s">
        <v>257</v>
      </c>
      <c r="G8" s="313"/>
    </row>
    <row r="9" spans="2:7" x14ac:dyDescent="0.2">
      <c r="B9" s="119" t="s">
        <v>250</v>
      </c>
      <c r="C9" s="120" t="s">
        <v>253</v>
      </c>
      <c r="D9" s="120" t="s">
        <v>256</v>
      </c>
      <c r="F9" s="316"/>
      <c r="G9" s="314"/>
    </row>
  </sheetData>
  <mergeCells count="7">
    <mergeCell ref="F2:G2"/>
    <mergeCell ref="B2:D2"/>
    <mergeCell ref="G7:G9"/>
    <mergeCell ref="F8:F9"/>
    <mergeCell ref="B3:B4"/>
    <mergeCell ref="C3:D3"/>
    <mergeCell ref="F3:F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customXml/itemProps2.xml><?xml version="1.0" encoding="utf-8"?>
<ds:datastoreItem xmlns:ds="http://schemas.openxmlformats.org/officeDocument/2006/customXml" ds:itemID="{475902A9-E12F-4B1E-8951-232BEAF9D0FA}">
  <ds:schemaRefs>
    <ds:schemaRef ds:uri="http://schemas.microsoft.com/sharepoint/v3/contenttype/forms"/>
  </ds:schemaRefs>
</ds:datastoreItem>
</file>

<file path=customXml/itemProps3.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Step 1 - Order Planner</vt:lpstr>
      <vt:lpstr>Step 2 - Review Order</vt:lpstr>
      <vt:lpstr>'Step 1 - Order Planner'!Print_Area</vt:lpstr>
      <vt:lpstr>'Step 2 -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